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8830" windowHeight="6210" tabRatio="598" activeTab="0"/>
  </bookViews>
  <sheets>
    <sheet name="profile" sheetId="1" r:id="rId1"/>
    <sheet name="data" sheetId="2" r:id="rId2"/>
  </sheets>
  <definedNames>
    <definedName name="WARDlist">'data'!$A$2:$A$25</definedName>
  </definedNames>
  <calcPr fullCalcOnLoad="1"/>
</workbook>
</file>

<file path=xl/sharedStrings.xml><?xml version="1.0" encoding="utf-8"?>
<sst xmlns="http://schemas.openxmlformats.org/spreadsheetml/2006/main" count="544" uniqueCount="478">
  <si>
    <t/>
  </si>
  <si>
    <t>Highland</t>
  </si>
  <si>
    <t>Scotland</t>
  </si>
  <si>
    <t>Description</t>
  </si>
  <si>
    <t>Percentage</t>
  </si>
  <si>
    <t>Number</t>
  </si>
  <si>
    <t>All people</t>
  </si>
  <si>
    <t>      Males</t>
  </si>
  <si>
    <t>      Females</t>
  </si>
  <si>
    <t>Age</t>
  </si>
  <si>
    <t>      0 to 4 years old</t>
  </si>
  <si>
    <t>      5 to 15 years old</t>
  </si>
  <si>
    <t>      16 to 29 years old</t>
  </si>
  <si>
    <t>      30 to 44 years old</t>
  </si>
  <si>
    <t>      45 to 59 years old</t>
  </si>
  <si>
    <t>      60 to 74 years old</t>
  </si>
  <si>
    <t>      75 and over</t>
  </si>
  <si>
    <t> </t>
  </si>
  <si>
    <t>      Under 16</t>
  </si>
  <si>
    <t>      16 to 64</t>
  </si>
  <si>
    <t>      65 and over</t>
  </si>
  <si>
    <t>All people aged 16 and over</t>
  </si>
  <si>
    <t>Resident type</t>
  </si>
  <si>
    <t>      People living in a household</t>
  </si>
  <si>
    <t>      People living in a communal establishment</t>
  </si>
  <si>
    <t>Average number of persons per household</t>
  </si>
  <si>
    <t>Average number of cars or vans per household</t>
  </si>
  <si>
    <t>Household size</t>
  </si>
  <si>
    <t>Total number of households (with residents)</t>
  </si>
  <si>
    <t>      1 person</t>
  </si>
  <si>
    <t>      2 people</t>
  </si>
  <si>
    <t>      3 people</t>
  </si>
  <si>
    <t>      4 people</t>
  </si>
  <si>
    <t>      5 people</t>
  </si>
  <si>
    <t>      6 or more people</t>
  </si>
  <si>
    <t>Tenure</t>
  </si>
  <si>
    <t>       Owned</t>
  </si>
  <si>
    <t>       Rented from Council</t>
  </si>
  <si>
    <t>       Other social rented</t>
  </si>
  <si>
    <t>       Private rented</t>
  </si>
  <si>
    <t>       Living rent free</t>
  </si>
  <si>
    <t>Car or van availability</t>
  </si>
  <si>
    <t>       No car or van</t>
  </si>
  <si>
    <t>       1 car or van</t>
  </si>
  <si>
    <t>       2 cars or vans</t>
  </si>
  <si>
    <t>       3 or more cars or vans</t>
  </si>
  <si>
    <t>General health</t>
  </si>
  <si>
    <t>      Very good</t>
  </si>
  <si>
    <t>      Good</t>
  </si>
  <si>
    <t>      Fair</t>
  </si>
  <si>
    <t>      Bad</t>
  </si>
  <si>
    <t>      Very bad</t>
  </si>
  <si>
    <t>Limiting long-term health</t>
  </si>
  <si>
    <t>      Limited a lot</t>
  </si>
  <si>
    <t>      Limited a little</t>
  </si>
  <si>
    <t>      Not limited</t>
  </si>
  <si>
    <t>Provision of unpaid care</t>
  </si>
  <si>
    <t>      Not providing care</t>
  </si>
  <si>
    <t>      Providing 1 to 19 hours of care a week</t>
  </si>
  <si>
    <t>      Providing 20 to 34 hours of care a week</t>
  </si>
  <si>
    <t>      Providing 35 to 49 hours of care a week</t>
  </si>
  <si>
    <t>      Providing 50 or more hours of care a week</t>
  </si>
  <si>
    <t>Identity</t>
  </si>
  <si>
    <t>       White - Scottish</t>
  </si>
  <si>
    <t>       White - Other British</t>
  </si>
  <si>
    <t>       White - Irish</t>
  </si>
  <si>
    <t>       White - Polish</t>
  </si>
  <si>
    <t>       White - Other</t>
  </si>
  <si>
    <t>       Asian, Asian Scottish or Asian British</t>
  </si>
  <si>
    <t>       Other ethnic groups</t>
  </si>
  <si>
    <t>National identity</t>
  </si>
  <si>
    <t>       Scottish identity only</t>
  </si>
  <si>
    <t>       British identity only</t>
  </si>
  <si>
    <t>       Scottish and British identities only</t>
  </si>
  <si>
    <t>       Scottish and any other identities</t>
  </si>
  <si>
    <t>       English identity only</t>
  </si>
  <si>
    <t>       Any other combination of UK identities (UK only)</t>
  </si>
  <si>
    <t>       Other identity</t>
  </si>
  <si>
    <t>       Other identity and at least one UK identity</t>
  </si>
  <si>
    <t>Religion</t>
  </si>
  <si>
    <t>       Church of Scotland</t>
  </si>
  <si>
    <t>       Roman Catholic</t>
  </si>
  <si>
    <t>       Other Christian</t>
  </si>
  <si>
    <t>       Muslim</t>
  </si>
  <si>
    <t>       Other religions</t>
  </si>
  <si>
    <t>       No religion</t>
  </si>
  <si>
    <t>       Not stated</t>
  </si>
  <si>
    <t>Country of birth</t>
  </si>
  <si>
    <t>       England</t>
  </si>
  <si>
    <t>       Wales</t>
  </si>
  <si>
    <t>       Northern Ireland</t>
  </si>
  <si>
    <t>       Republic Of Ireland</t>
  </si>
  <si>
    <t>       Other countries</t>
  </si>
  <si>
    <t>Length of residence in UK</t>
  </si>
  <si>
    <t>All people born outside the UK</t>
  </si>
  <si>
    <t>       resident in UK for less than 2 years</t>
  </si>
  <si>
    <t>       resident in UK for 2 years or more but less than 5 years</t>
  </si>
  <si>
    <t>       resident in UK for 5 years or more but less than 10 years</t>
  </si>
  <si>
    <t>       resident in UK for 10 years or more</t>
  </si>
  <si>
    <t>Language</t>
  </si>
  <si>
    <t>All people aged 3 and over</t>
  </si>
  <si>
    <t>       Speaks English well or very well</t>
  </si>
  <si>
    <t>       Does not speak English well</t>
  </si>
  <si>
    <t>       Does not speak English at all</t>
  </si>
  <si>
    <t>       Able to speak Gaelic</t>
  </si>
  <si>
    <t>       Able to speak Scots</t>
  </si>
  <si>
    <t>       Uses a language other than English at home</t>
  </si>
  <si>
    <t>5 to 15 years old</t>
  </si>
  <si>
    <t>16 to 29 years old</t>
  </si>
  <si>
    <t>30 to 44 years old</t>
  </si>
  <si>
    <t>45 to 59 years old</t>
  </si>
  <si>
    <t>60 to 74 years old</t>
  </si>
  <si>
    <t>75 and over</t>
  </si>
  <si>
    <t>Under 16</t>
  </si>
  <si>
    <t>16 to 64</t>
  </si>
  <si>
    <t>65 and over</t>
  </si>
  <si>
    <t>Males</t>
  </si>
  <si>
    <t>Females</t>
  </si>
  <si>
    <t>Lives in a household</t>
  </si>
  <si>
    <t>Lives in a communal establishment</t>
  </si>
  <si>
    <t>One person</t>
  </si>
  <si>
    <t>Two people</t>
  </si>
  <si>
    <t>Three people</t>
  </si>
  <si>
    <t>Four people</t>
  </si>
  <si>
    <t>Five people</t>
  </si>
  <si>
    <t>Six or more people</t>
  </si>
  <si>
    <t>All occupied household spaces</t>
  </si>
  <si>
    <t>Rented: Council (Local authority)</t>
  </si>
  <si>
    <t>Rented: Other social rented</t>
  </si>
  <si>
    <t>Rented: Private landlord or letting agency</t>
  </si>
  <si>
    <t>Owned</t>
  </si>
  <si>
    <t>Number of cars or vans in household: No cars or vans</t>
  </si>
  <si>
    <t>Number of cars or vans in household: One car or van</t>
  </si>
  <si>
    <t>Number of cars or vans in household: Two cars or vans</t>
  </si>
  <si>
    <t>Very good health</t>
  </si>
  <si>
    <t>Good health</t>
  </si>
  <si>
    <t>Fair health</t>
  </si>
  <si>
    <t>Bad health</t>
  </si>
  <si>
    <t>Very bad health</t>
  </si>
  <si>
    <t>Day0to0day activities limited a lot</t>
  </si>
  <si>
    <t>Day0to0day activities limited a little</t>
  </si>
  <si>
    <t>Day0to0day activities not limited</t>
  </si>
  <si>
    <t>Provides no unpaid care</t>
  </si>
  <si>
    <t>Provides 1 to 19 hours unpaid care a week</t>
  </si>
  <si>
    <t>Provides 20 to 34 hours unpaid care a week</t>
  </si>
  <si>
    <t>Provides 35 to 49 hours unpaid care a week</t>
  </si>
  <si>
    <t>Provides 50 or more hours unpaid care a week</t>
  </si>
  <si>
    <t>Economic activity</t>
  </si>
  <si>
    <t>Hours worked</t>
  </si>
  <si>
    <t>Industry</t>
  </si>
  <si>
    <t>Occupation</t>
  </si>
  <si>
    <t>Highest Qualification</t>
  </si>
  <si>
    <t>Gender</t>
  </si>
  <si>
    <t>n/a</t>
  </si>
  <si>
    <t>Population Density</t>
  </si>
  <si>
    <t>Unemployment</t>
  </si>
  <si>
    <t>White: Scottish</t>
  </si>
  <si>
    <t>White: Other British</t>
  </si>
  <si>
    <t>White: Irish</t>
  </si>
  <si>
    <t>White: Polish</t>
  </si>
  <si>
    <t>White: Other White</t>
  </si>
  <si>
    <t>Asian, Asian Scottish or Asian British</t>
  </si>
  <si>
    <t>Scottish identity only</t>
  </si>
  <si>
    <t>British identity only</t>
  </si>
  <si>
    <t>Scottish and British identities only</t>
  </si>
  <si>
    <t>Scottish and any other identities</t>
  </si>
  <si>
    <t>English identity only</t>
  </si>
  <si>
    <t>Any other combination of UK identities (UK only)</t>
  </si>
  <si>
    <t>Other identity only (1)</t>
  </si>
  <si>
    <t>Other identity and at least one UK identity</t>
  </si>
  <si>
    <t>Church of Scotland</t>
  </si>
  <si>
    <t>Roman Catholic</t>
  </si>
  <si>
    <t>Other Christian</t>
  </si>
  <si>
    <t>Muslim</t>
  </si>
  <si>
    <t>No religion</t>
  </si>
  <si>
    <t>Religion not stated</t>
  </si>
  <si>
    <t>Europe: United Kingdom: Scotland</t>
  </si>
  <si>
    <t>Europe: United Kingdom: England</t>
  </si>
  <si>
    <t>Europe: United Kingdom: Wales</t>
  </si>
  <si>
    <t>Europe: United Kingdom: Northern Ireland</t>
  </si>
  <si>
    <t>Europe: Republic of Ireland</t>
  </si>
  <si>
    <t>Born outside the UK</t>
  </si>
  <si>
    <t>Less than two years</t>
  </si>
  <si>
    <t>Two years or more and less than five years</t>
  </si>
  <si>
    <t>five years or more and less then ten years</t>
  </si>
  <si>
    <t>Ten years or more</t>
  </si>
  <si>
    <t>Speaks English well or very well</t>
  </si>
  <si>
    <t>Does not speak English well</t>
  </si>
  <si>
    <t>Does not speak English at all</t>
  </si>
  <si>
    <t>Able to speak Gaelic</t>
  </si>
  <si>
    <t xml:space="preserve">       Other Gaelic Skills</t>
  </si>
  <si>
    <t xml:space="preserve">       No skills in Gaelic</t>
  </si>
  <si>
    <t>No skills in Gaelic</t>
  </si>
  <si>
    <t>Able to speak Scots</t>
  </si>
  <si>
    <t>Uses a language other than English at home</t>
  </si>
  <si>
    <t>Economically inactive</t>
  </si>
  <si>
    <t>Economic inactivity</t>
  </si>
  <si>
    <t>Part-time 1 to 15 hours</t>
  </si>
  <si>
    <t>Full-time 49 hours or more</t>
  </si>
  <si>
    <t>B Mining and quarrying</t>
  </si>
  <si>
    <t>C Manufacturing</t>
  </si>
  <si>
    <t>F Construction</t>
  </si>
  <si>
    <t>H Transport and storage</t>
  </si>
  <si>
    <t>I Accommodation and food service activities</t>
  </si>
  <si>
    <t>J Information and communication</t>
  </si>
  <si>
    <t>K Financial and insurance activities</t>
  </si>
  <si>
    <t>L Real estate activities</t>
  </si>
  <si>
    <t>N Administrative and support service activities</t>
  </si>
  <si>
    <t>P Education</t>
  </si>
  <si>
    <t>Q Human health and social work activities</t>
  </si>
  <si>
    <t>All people aged 16 and over: No qualifications</t>
  </si>
  <si>
    <t>All people aged 16 and over: Level 1</t>
  </si>
  <si>
    <t>All people aged 16 and over: Level 2</t>
  </si>
  <si>
    <t>All people aged 16 and over: Level 3</t>
  </si>
  <si>
    <t>All people aged 16 and over: Level 4 and above</t>
  </si>
  <si>
    <t>       Scotland</t>
  </si>
  <si>
    <t>       Other EU countries  (inc UK part not specified)</t>
  </si>
  <si>
    <t>Other EU countries  (inc UK part not specified)</t>
  </si>
  <si>
    <t>pop_profile_OA.All people</t>
  </si>
  <si>
    <t>0 to 4</t>
  </si>
  <si>
    <t>All cars or vans in the households</t>
  </si>
  <si>
    <t>3 or more cars or vans</t>
  </si>
  <si>
    <t>KS201SC.All people</t>
  </si>
  <si>
    <t>KS202SC.All people</t>
  </si>
  <si>
    <t>KS209SCb.All people</t>
  </si>
  <si>
    <t>QS203SC.All people</t>
  </si>
  <si>
    <t>Expr1001</t>
  </si>
  <si>
    <t>Economically active_Employee Part-time</t>
  </si>
  <si>
    <t>Economically active_Employee Full-time</t>
  </si>
  <si>
    <t>Economically active_Self-employed</t>
  </si>
  <si>
    <t>Expr1005</t>
  </si>
  <si>
    <t>Economically active_In employment</t>
  </si>
  <si>
    <t>QS603SC.Economically active_Unemployed</t>
  </si>
  <si>
    <t>KS601SC.All people aged 16 to 74</t>
  </si>
  <si>
    <t>Economically inactive_Retired</t>
  </si>
  <si>
    <t>Economically inactive_Student</t>
  </si>
  <si>
    <t>Economically inactive_Looking after home or family</t>
  </si>
  <si>
    <t>Economically inactive_Long-term sick or disabled</t>
  </si>
  <si>
    <t>Economically inactive_Other</t>
  </si>
  <si>
    <t>KS601SC.Economically active_Unemployed</t>
  </si>
  <si>
    <t>Unemployed people aged 16 to 74_Aged 16 to 24</t>
  </si>
  <si>
    <t>Unemployed people aged 16 to 74_Aged 5- to 74</t>
  </si>
  <si>
    <t>Unemployed people aged 16 to 74_Never worked</t>
  </si>
  <si>
    <t>QS604SCb.All people aged 16 to 74</t>
  </si>
  <si>
    <t>Part-time_16 to 30 hours</t>
  </si>
  <si>
    <t>Full-time_31 to 37 hours</t>
  </si>
  <si>
    <t>Full-time_38 to 48 hours</t>
  </si>
  <si>
    <t>KS605SC.All people aged 16 to 74 in employment</t>
  </si>
  <si>
    <t>D Electricity, gas, steam and air conditioning supply</t>
  </si>
  <si>
    <t>E Water supply, sewerage, waste management and remediation acti</t>
  </si>
  <si>
    <t>G Wholesale and retail trade, repair of motor vehicles and moto</t>
  </si>
  <si>
    <t>M Professional, scientific and technical activities</t>
  </si>
  <si>
    <t>R, S, T, U Other</t>
  </si>
  <si>
    <t>QS606SC.All people aged 16 to 74 in employment</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</si>
  <si>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</si>
  <si>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</si>
  <si>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</si>
  <si>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</si>
  <si>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</si>
  <si>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</si>
  <si>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</si>
  <si>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</si>
  <si>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</si>
  <si>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Area sq kms</t>
  </si>
  <si>
    <t>Population</t>
  </si>
  <si>
    <t>Households</t>
  </si>
  <si>
    <t>Health</t>
  </si>
  <si>
    <t>The Economy and Labour Market</t>
  </si>
  <si>
    <t>Education</t>
  </si>
  <si>
    <t>Identity and Language</t>
  </si>
  <si>
    <t>Living rent free</t>
  </si>
  <si>
    <t>A Agriculture, forestry and fishing</t>
  </si>
  <si>
    <t>O Public administration and defence, compulsory social security</t>
  </si>
  <si>
    <t xml:space="preserve">       Rented - other</t>
  </si>
  <si>
    <t xml:space="preserve">       Economically active</t>
  </si>
  <si>
    <t xml:space="preserve">       Employees - part-time</t>
  </si>
  <si>
    <t xml:space="preserve">       Employees - full-time</t>
  </si>
  <si>
    <t xml:space="preserve">       Self-employed</t>
  </si>
  <si>
    <t xml:space="preserve">       Unemployed</t>
  </si>
  <si>
    <t xml:space="preserve">       Full-time student - employed</t>
  </si>
  <si>
    <t xml:space="preserve">       Full-time student - unemployed</t>
  </si>
  <si>
    <t xml:space="preserve">       Economically inactive</t>
  </si>
  <si>
    <t xml:space="preserve">       Retired</t>
  </si>
  <si>
    <t xml:space="preserve">       Student</t>
  </si>
  <si>
    <t xml:space="preserve">       Long-term sick or disabled</t>
  </si>
  <si>
    <t xml:space="preserve">       Looking after home or family</t>
  </si>
  <si>
    <t xml:space="preserve">       Other</t>
  </si>
  <si>
    <t xml:space="preserve">       Aged 16 to 24</t>
  </si>
  <si>
    <t xml:space="preserve">       Never worked</t>
  </si>
  <si>
    <t xml:space="preserve">       Part-time 1 to 15 hours</t>
  </si>
  <si>
    <t xml:space="preserve">       Part-time 16 to 30 hours</t>
  </si>
  <si>
    <t xml:space="preserve">       Full-time 31 to 37 hours</t>
  </si>
  <si>
    <t xml:space="preserve">       Full-time 38 to 48 hours</t>
  </si>
  <si>
    <t xml:space="preserve">       Full-time 49 hours or more</t>
  </si>
  <si>
    <t xml:space="preserve">       A Agriculture forestry and fishing</t>
  </si>
  <si>
    <t xml:space="preserve">       B Mining and quarrying</t>
  </si>
  <si>
    <t xml:space="preserve">       C Manufacturing</t>
  </si>
  <si>
    <t xml:space="preserve">       D Electricity gas steam and air conditioning</t>
  </si>
  <si>
    <t xml:space="preserve">       E Water supply - sewage waste management and remediation activities</t>
  </si>
  <si>
    <t xml:space="preserve">       F Construction</t>
  </si>
  <si>
    <t xml:space="preserve">       G Wholesale and retail trade - repair of motor vehicles and motorcycles</t>
  </si>
  <si>
    <t xml:space="preserve">       H Transport and storage</t>
  </si>
  <si>
    <t xml:space="preserve">       I Accommodation and food service activities</t>
  </si>
  <si>
    <t xml:space="preserve">       J Information and communication</t>
  </si>
  <si>
    <t xml:space="preserve">       K Financial and insurance activities</t>
  </si>
  <si>
    <t xml:space="preserve">       L Real estate activities</t>
  </si>
  <si>
    <t xml:space="preserve">       M Professional scientific and technical activities</t>
  </si>
  <si>
    <t xml:space="preserve">       N Administrative and support service activities</t>
  </si>
  <si>
    <t xml:space="preserve">       O Public administration and defence - compulsory social security</t>
  </si>
  <si>
    <t xml:space="preserve">       P Education</t>
  </si>
  <si>
    <t xml:space="preserve">       Q Human health and social work activities</t>
  </si>
  <si>
    <t xml:space="preserve">       R S T U Other</t>
  </si>
  <si>
    <t xml:space="preserve">       Managers directors and senior officials</t>
  </si>
  <si>
    <t xml:space="preserve">       Professional occupations</t>
  </si>
  <si>
    <t xml:space="preserve">       Associate professional and technical occupations</t>
  </si>
  <si>
    <t xml:space="preserve">       Administrative and secretarial occupations</t>
  </si>
  <si>
    <t xml:space="preserve">       Skilled trades occupations</t>
  </si>
  <si>
    <t xml:space="preserve">       Caring leisure and other service occupations</t>
  </si>
  <si>
    <t xml:space="preserve">       Sales and customer service occupations</t>
  </si>
  <si>
    <t xml:space="preserve">       Elementary occupations</t>
  </si>
  <si>
    <t xml:space="preserve">       Process plant and machine operatives</t>
  </si>
  <si>
    <t xml:space="preserve">       Aged 50 to 74</t>
  </si>
  <si>
    <t xml:space="preserve">       Aged 25 to 49</t>
  </si>
  <si>
    <t>Level 1: 0 Grade, Standard Grade, Access 3 Cluster, Intermediate 1 or 2, GCSE, CSE, Senior Certification or equivalent; GSVQ Foundation or Intermediate, SVQ level 1 or 2, SCOTVEC Module, City and Guilds Craft or equivalent; Other school qualifications not already mentioned (including foreign qualifications).</t>
  </si>
  <si>
    <t>Level 2: SCE Higher Grade, Higher, Advanced Higher, CSYS, A Level, AS Level, Advanced Senior Certificate or equivalent; GSVQ Advanced, SVQ level 3, ONC, OND, SCOTVEC National Diploma, City and Guilds Advanced Craft or equivalent.</t>
  </si>
  <si>
    <t>Level 3: HNC, HND, SVQ level 4 or equivalent; Other post-school but pre-Higher Education qualifications not already mentioned (including foreign qualifications).</t>
  </si>
  <si>
    <t>Level 4 and above: Degree, Postgraduate qualifications, Masters, PhD, SVQ level 5 or equivalent; Professional qualifications (for example, teaching, nursing, accountancy); Other Higher Education qualifications not already mentioned (including foreign qualifications).</t>
  </si>
  <si>
    <t>Numbers for Highland and Scotland are also available from this list.</t>
  </si>
  <si>
    <t xml:space="preserve">       No qualifications</t>
  </si>
  <si>
    <t>Row Labels</t>
  </si>
  <si>
    <t>Aird and Loch Ness</t>
  </si>
  <si>
    <t>Badenoch And Strathspey</t>
  </si>
  <si>
    <t>Black Isle</t>
  </si>
  <si>
    <t>Caol And Mallaig</t>
  </si>
  <si>
    <t>Cromarty Firth</t>
  </si>
  <si>
    <t>Culloden And Ardersier</t>
  </si>
  <si>
    <t>Dingwall And Seaforth</t>
  </si>
  <si>
    <t>East Sutherland And Edderton</t>
  </si>
  <si>
    <t>Eilean a' Cheò</t>
  </si>
  <si>
    <t>Fort William And Ardnamurchan</t>
  </si>
  <si>
    <t>Inverness Central</t>
  </si>
  <si>
    <t>Inverness Millburn</t>
  </si>
  <si>
    <t>Inverness Ness-Side</t>
  </si>
  <si>
    <t>Inverness South</t>
  </si>
  <si>
    <t>Inverness West</t>
  </si>
  <si>
    <t>Landward Caithness</t>
  </si>
  <si>
    <t>Nairn</t>
  </si>
  <si>
    <t>North, West And Central Sutherland</t>
  </si>
  <si>
    <t>Tain And Easter Ross</t>
  </si>
  <si>
    <t>Thurso</t>
  </si>
  <si>
    <t>Wester Ross, Strathpeffer And Lochalsh</t>
  </si>
  <si>
    <t>Wick</t>
  </si>
  <si>
    <t>HIGHLAND COUNCIL 2011 CENSUS PROFILE
for Wards</t>
  </si>
  <si>
    <t>Click on the purple cell below, then click on the down arrow on the right hand side of the cell
to bring up a list of Wards. Click on the Ward you are interested in.</t>
  </si>
  <si>
    <r>
      <t>Cautionary Note: Comparison between this Census profile and the Ward statistics given in the "Facts and Figues" pages on our website.</t>
    </r>
    <r>
      <rPr>
        <sz val="11"/>
        <color indexed="8"/>
        <rFont val="Arial"/>
        <family val="2"/>
      </rPr>
      <t xml:space="preserve">
Census statistics are reported for small areas ("census output areas") and this Census profile has been designed to take advantage of the local detail that this gives, but the figures are a single snapshot in time. The Ward Statistics are designed to be updated whenever new information becomes available (typically monthly for unemployment as JSA, quarterly for other DWP benefits, annual for other information) and are based on much larger data zones, which are the Scottish Government's geography for reporting local statistics. Wards are built up from data zones on a "best fit" basis as defined by the Scottish Government and used on their Scottish Neighbourhood Statistics website. The end result is less accurate than the Census profiles.
Users who need accuracy and the richness of data available from the Census should use the Census profile. Users who need up to date information, consistency with other Government figures and trends through time should use the Ward statistics figures. </t>
    </r>
  </si>
  <si>
    <t>All household spaces</t>
  </si>
  <si>
    <t>Occupied household spaces</t>
  </si>
  <si>
    <t>Unoccupied household spaces</t>
  </si>
  <si>
    <t>Unoccupied household spaces: Second residence/holiday accommodat</t>
  </si>
  <si>
    <t>Unoccupied household spaces: Vacant</t>
  </si>
  <si>
    <t>Unshared dwelling: Total</t>
  </si>
  <si>
    <t>Unshared dwelling: Whole house or bungalow: Detached</t>
  </si>
  <si>
    <t>Unshared dwelling: Whole house or bungalow: Semi-detached</t>
  </si>
  <si>
    <t xml:space="preserve">Unshared dwelling: Whole house or bungalow: Terraced (including </t>
  </si>
  <si>
    <t>Unshared dwelling: Flat maisonette or apartment</t>
  </si>
  <si>
    <t>Unshared dwelling: Caravan or other mobile or temporary structur</t>
  </si>
  <si>
    <t>One person household: Aged 65 and over</t>
  </si>
  <si>
    <t>One person household: Aged under 65</t>
  </si>
  <si>
    <t>One family only: All aged 65 and over</t>
  </si>
  <si>
    <t>One family only: Married or same-sex civil partnership couple: N</t>
  </si>
  <si>
    <t>One family only: Married or same-sex civil partnership couple: W</t>
  </si>
  <si>
    <t>One family only: Married or same-sex civil partnership couple: A</t>
  </si>
  <si>
    <t>One family only: Cohabiting couple: No children</t>
  </si>
  <si>
    <t>One family only: Cohabiting couple: With dependent children</t>
  </si>
  <si>
    <t>One family only: Cohabiting couple: All children non-dependent</t>
  </si>
  <si>
    <t>One family only: Lone parent: With dependent children</t>
  </si>
  <si>
    <t>One family only: Lone parent: All children non-dependent</t>
  </si>
  <si>
    <t>Other households: With dependent children</t>
  </si>
  <si>
    <t>Other households: All full-time students</t>
  </si>
  <si>
    <t>Other households: All aged 65 and over</t>
  </si>
  <si>
    <t>Other households: Other</t>
  </si>
  <si>
    <t>All households</t>
  </si>
  <si>
    <t>No adults in employment in household: With dependent children</t>
  </si>
  <si>
    <t>Dependent children in household: All ages</t>
  </si>
  <si>
    <t>Dependent children in household: Aged 0 to 4</t>
  </si>
  <si>
    <t>One or more persons in household with a long-term health problem</t>
  </si>
  <si>
    <t>Lone parent: Total</t>
  </si>
  <si>
    <t>Lone parent: In part-time employment</t>
  </si>
  <si>
    <t>Lone parent: In full-time employment</t>
  </si>
  <si>
    <t>Lone parent: Not in employment</t>
  </si>
  <si>
    <t>Aged 65 to 74: One person household</t>
  </si>
  <si>
    <t>Aged 75 and over: One person household</t>
  </si>
  <si>
    <t>Aged 75 and over: Two or more person household</t>
  </si>
  <si>
    <t>All households where HRP is aged 65 and over</t>
  </si>
  <si>
    <t>Shared ownership (part owned and part rented)</t>
  </si>
  <si>
    <t>Rented from council (Local Authority)</t>
  </si>
  <si>
    <t>Other social rented</t>
  </si>
  <si>
    <t>Private rented</t>
  </si>
  <si>
    <t>Work or study mainly at or from home</t>
  </si>
  <si>
    <t>Underground metro light rail or tram</t>
  </si>
  <si>
    <t>Train</t>
  </si>
  <si>
    <t>Bus minibus or coach</t>
  </si>
  <si>
    <t>Taxi or minicab</t>
  </si>
  <si>
    <t>Driving a car or van</t>
  </si>
  <si>
    <t>Passenger in a car or van</t>
  </si>
  <si>
    <t>Motorcycle scooter or moped</t>
  </si>
  <si>
    <t>Bicycle</t>
  </si>
  <si>
    <t>On foot</t>
  </si>
  <si>
    <t>Other</t>
  </si>
  <si>
    <t>Area (square kilometers)</t>
  </si>
  <si>
    <t>Number of people per square kilometre</t>
  </si>
  <si>
    <t>Household spaces</t>
  </si>
  <si>
    <t xml:space="preserve">      Occupied household spaces</t>
  </si>
  <si>
    <t xml:space="preserve">      Unoccupied household spaces</t>
  </si>
  <si>
    <t xml:space="preserve">      Unoccupied household spaces: Second residence / holiday accommodation</t>
  </si>
  <si>
    <t xml:space="preserve">      Unoccupied household spaces: Vacant</t>
  </si>
  <si>
    <t>Accommodation Type</t>
  </si>
  <si>
    <t>All Households in unshared dwellings</t>
  </si>
  <si>
    <t xml:space="preserve">      House or bungalow: detached</t>
  </si>
  <si>
    <t xml:space="preserve">      House or bungalow: semi-detached</t>
  </si>
  <si>
    <t xml:space="preserve">      Terraced (including end-terrace)</t>
  </si>
  <si>
    <t xml:space="preserve">      Flat maisonette or apartment</t>
  </si>
  <si>
    <t>      Caravan or other mobile or temporary structure</t>
  </si>
  <si>
    <t>Household composition</t>
  </si>
  <si>
    <t xml:space="preserve">      One person household: Aged 65 and over</t>
  </si>
  <si>
    <t xml:space="preserve">      One person household: Aged under 65</t>
  </si>
  <si>
    <t xml:space="preserve">      One family only: All aged 65 and over</t>
  </si>
  <si>
    <t xml:space="preserve">      One family only: Married or same-sex civil partnership couple: No children</t>
  </si>
  <si>
    <t xml:space="preserve">      One family only: Married or same-sex civil partnership couple:
      All children non-dependent</t>
  </si>
  <si>
    <t xml:space="preserve">      One family only: Cohabiting couple: No children</t>
  </si>
  <si>
    <t xml:space="preserve">      One family only: Cohabiting couple: With dependent children</t>
  </si>
  <si>
    <t xml:space="preserve">      One family only: Cohabiting couple: All children non-dependent</t>
  </si>
  <si>
    <t xml:space="preserve">      One family only: Lone parent: With dependent children</t>
  </si>
  <si>
    <t xml:space="preserve">      One family only: Lone parent: All children non-dependent</t>
  </si>
  <si>
    <t xml:space="preserve">      Other households: With dependent children</t>
  </si>
  <si>
    <t xml:space="preserve">      Other households: All full-time students</t>
  </si>
  <si>
    <t xml:space="preserve">      Other households: All aged 65 and over</t>
  </si>
  <si>
    <t xml:space="preserve">      Other households: Other</t>
  </si>
  <si>
    <t>Families with children</t>
  </si>
  <si>
    <t xml:space="preserve">      No adults in employment in household: With dependent children</t>
  </si>
  <si>
    <t xml:space="preserve">      Dependent children in household: All ages</t>
  </si>
  <si>
    <t xml:space="preserve">      Dependent children in household: Aged 0 to 4</t>
  </si>
  <si>
    <t xml:space="preserve">      One or more persons in household with a long-term health problem or disability:
      With dependent children</t>
  </si>
  <si>
    <t xml:space="preserve">      Lone parent: Total</t>
  </si>
  <si>
    <t xml:space="preserve">      Lone parent: In part-time employment</t>
  </si>
  <si>
    <t xml:space="preserve">      Lone parent: In full-time employment</t>
  </si>
  <si>
    <t xml:space="preserve">      Lone parent: Not in employment</t>
  </si>
  <si>
    <t>Retired people</t>
  </si>
  <si>
    <t xml:space="preserve">      Aged 65 to 74: One person household</t>
  </si>
  <si>
    <t xml:space="preserve">      Aged 75 and over: One person household</t>
  </si>
  <si>
    <t xml:space="preserve">      Aged 75 and over: Two or more person household</t>
  </si>
  <si>
    <t>Retired people: tenure</t>
  </si>
  <si>
    <t xml:space="preserve">      Owned</t>
  </si>
  <si>
    <t xml:space="preserve">      Shared ownership (part owned and part rented)</t>
  </si>
  <si>
    <t xml:space="preserve">      Rented from council (Local Authority)</t>
  </si>
  <si>
    <t xml:space="preserve">      Other social rented</t>
  </si>
  <si>
    <t xml:space="preserve">      Private rented</t>
  </si>
  <si>
    <t xml:space="preserve">      Living rent free</t>
  </si>
  <si>
    <t>Travel to work</t>
  </si>
  <si>
    <t>All people working or studying</t>
  </si>
  <si>
    <t xml:space="preserve">      Work or study mainly at or from home</t>
  </si>
  <si>
    <t xml:space="preserve">      Underground metro light rail or tram</t>
  </si>
  <si>
    <t xml:space="preserve">      Train</t>
  </si>
  <si>
    <t xml:space="preserve">      Bus minibus or coach</t>
  </si>
  <si>
    <t xml:space="preserve">      Taxi or minicab</t>
  </si>
  <si>
    <t xml:space="preserve">      Driving a car or van</t>
  </si>
  <si>
    <t xml:space="preserve">      Passenger in a car or van</t>
  </si>
  <si>
    <t xml:space="preserve">      Motorcycle scooter or moped</t>
  </si>
  <si>
    <t xml:space="preserve">      Bicycle</t>
  </si>
  <si>
    <t xml:space="preserve">      On foot</t>
  </si>
  <si>
    <t xml:space="preserve">      Other</t>
  </si>
  <si>
    <t>All persons 16 to 74</t>
  </si>
  <si>
    <t>All persons aged 16 to 74 who were unemployed</t>
  </si>
  <si>
    <t>All persons aged 16 to 74 in employment</t>
  </si>
  <si>
    <t>All persons 16 to 74 in employment</t>
  </si>
  <si>
    <t>All persons aged 16 and over</t>
  </si>
  <si>
    <t>colum no</t>
  </si>
  <si>
    <t xml:space="preserve">      One family only: Married or same-sex civil partnership couple:
      With dependent children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</si>
</sst>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9">
    <font>
      <sz val="10"/>
      <color theme="1"/>
      <name val="Arial"/>
      <family val="2"/>
    </font>
    <font>
      <sz val="10"/>
      <color indexed="8"/>
      <name val="Arial"/>
      <family val="2"/>
    </font>
    <font>
      <b/>
      <i/>
      <sz val="13"/>
      <color indexed="8"/>
      <name val="Albany AMT, Helvetica"/>
      <family val="0"/>
    </font>
    <font>
      <b/>
      <sz val="11"/>
      <color indexed="8"/>
      <name val="Albany AMT, Helvetica"/>
      <family val="0"/>
    </font>
    <font>
      <sz val="10"/>
      <color indexed="8"/>
      <name val="Albany AMT, Helvetica"/>
      <family val="0"/>
    </font>
    <font>
      <b/>
      <sz val="10"/>
      <color indexed="8"/>
      <name val="Albany AMT, Helvetica"/>
      <family val="0"/>
    </font>
    <font>
      <b/>
      <i/>
      <sz val="14"/>
      <color indexed="8"/>
      <name val="Albany AMT, Helvetica"/>
      <family val="0"/>
    </font>
    <font>
      <b/>
      <i/>
      <sz val="18"/>
      <color indexed="8"/>
      <name val="Albany AMT, Helvetica"/>
      <family val="0"/>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2"/>
    </font>
    <font>
      <b/>
      <sz val="11"/>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4"/>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33"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0" xfId="0" applyAlignment="1">
      <alignment wrapText="1"/>
    </xf>
    <xf numFmtId="0" fontId="0" fillId="0" borderId="0" xfId="0" applyAlignment="1">
      <alignment/>
    </xf>
    <xf numFmtId="0" fontId="3" fillId="0" borderId="11" xfId="0" applyNumberFormat="1" applyFont="1" applyFill="1" applyBorder="1" applyAlignment="1" applyProtection="1">
      <alignment wrapText="1"/>
      <protection/>
    </xf>
    <xf numFmtId="0" fontId="3" fillId="0" borderId="12" xfId="0" applyNumberFormat="1" applyFont="1" applyFill="1" applyBorder="1" applyAlignment="1" applyProtection="1">
      <alignment wrapText="1"/>
      <protection/>
    </xf>
    <xf numFmtId="0" fontId="6" fillId="33" borderId="0" xfId="0" applyNumberFormat="1" applyFont="1" applyFill="1" applyBorder="1" applyAlignment="1" applyProtection="1">
      <alignment wrapText="1"/>
      <protection/>
    </xf>
    <xf numFmtId="3" fontId="0" fillId="0" borderId="0" xfId="0" applyNumberFormat="1" applyAlignment="1">
      <alignment/>
    </xf>
    <xf numFmtId="3" fontId="46" fillId="0" borderId="0" xfId="0" applyNumberFormat="1" applyFont="1" applyAlignment="1">
      <alignment/>
    </xf>
    <xf numFmtId="0" fontId="0" fillId="0" borderId="0" xfId="0" applyAlignment="1">
      <alignment horizontal="center"/>
    </xf>
    <xf numFmtId="0" fontId="0" fillId="33"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wrapText="1"/>
      <protection/>
    </xf>
    <xf numFmtId="164" fontId="4" fillId="0" borderId="10" xfId="0" applyNumberFormat="1" applyFont="1" applyFill="1" applyBorder="1" applyAlignment="1" applyProtection="1">
      <alignment horizontal="center" wrapText="1"/>
      <protection/>
    </xf>
    <xf numFmtId="3" fontId="4" fillId="0" borderId="10" xfId="0" applyNumberFormat="1" applyFont="1" applyFill="1" applyBorder="1" applyAlignment="1" applyProtection="1">
      <alignment horizontal="center" wrapText="1"/>
      <protection/>
    </xf>
    <xf numFmtId="165" fontId="4" fillId="0" borderId="10" xfId="0" applyNumberFormat="1" applyFont="1" applyFill="1" applyBorder="1" applyAlignment="1" applyProtection="1">
      <alignment horizontal="center" wrapText="1"/>
      <protection/>
    </xf>
    <xf numFmtId="164" fontId="5" fillId="0" borderId="10" xfId="0" applyNumberFormat="1" applyFont="1" applyFill="1" applyBorder="1" applyAlignment="1" applyProtection="1">
      <alignment horizontal="center" wrapText="1"/>
      <protection/>
    </xf>
    <xf numFmtId="10" fontId="3" fillId="0" borderId="12" xfId="0" applyNumberFormat="1" applyFont="1" applyFill="1" applyBorder="1" applyAlignment="1" applyProtection="1">
      <alignment horizontal="center" wrapText="1"/>
      <protection/>
    </xf>
    <xf numFmtId="0" fontId="3" fillId="0" borderId="12" xfId="0"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wrapText="1"/>
      <protection/>
    </xf>
    <xf numFmtId="3" fontId="0" fillId="0" borderId="0" xfId="0" applyNumberFormat="1" applyAlignment="1">
      <alignment horizontal="center"/>
    </xf>
    <xf numFmtId="3" fontId="4" fillId="34" borderId="10" xfId="0" applyNumberFormat="1" applyFont="1" applyFill="1" applyBorder="1" applyAlignment="1" applyProtection="1">
      <alignment horizontal="center" wrapText="1"/>
      <protection/>
    </xf>
    <xf numFmtId="3" fontId="5" fillId="0" borderId="10" xfId="0" applyNumberFormat="1" applyFont="1" applyFill="1" applyBorder="1" applyAlignment="1" applyProtection="1">
      <alignment horizontal="center" wrapText="1"/>
      <protection/>
    </xf>
    <xf numFmtId="3" fontId="5" fillId="34" borderId="10"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left" wrapText="1" indent="2"/>
      <protection/>
    </xf>
    <xf numFmtId="0" fontId="6" fillId="11" borderId="0" xfId="0" applyNumberFormat="1" applyFont="1" applyFill="1" applyBorder="1" applyAlignment="1" applyProtection="1">
      <alignment wrapText="1"/>
      <protection/>
    </xf>
    <xf numFmtId="3" fontId="0" fillId="0" borderId="0" xfId="0" applyNumberFormat="1" applyAlignment="1">
      <alignment wrapText="1"/>
    </xf>
    <xf numFmtId="0" fontId="2" fillId="33" borderId="0" xfId="0" applyNumberFormat="1" applyFont="1" applyFill="1" applyBorder="1" applyAlignment="1" applyProtection="1">
      <alignment wrapText="1"/>
      <protection/>
    </xf>
    <xf numFmtId="0" fontId="3" fillId="5" borderId="10" xfId="0" applyNumberFormat="1" applyFont="1" applyFill="1" applyBorder="1" applyAlignment="1" applyProtection="1">
      <alignment horizontal="center" wrapText="1"/>
      <protection/>
    </xf>
    <xf numFmtId="0" fontId="3" fillId="5" borderId="13"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0" fillId="0" borderId="0" xfId="0" applyFill="1" applyAlignment="1">
      <alignment/>
    </xf>
    <xf numFmtId="0" fontId="4" fillId="0" borderId="0" xfId="0" applyNumberFormat="1" applyFont="1" applyFill="1" applyBorder="1" applyAlignment="1" applyProtection="1">
      <alignment horizontal="left" wrapText="1"/>
      <protection/>
    </xf>
    <xf numFmtId="164" fontId="4" fillId="0" borderId="0" xfId="0" applyNumberFormat="1" applyFont="1" applyFill="1" applyBorder="1" applyAlignment="1" applyProtection="1">
      <alignment horizontal="right" wrapText="1"/>
      <protection/>
    </xf>
    <xf numFmtId="3" fontId="4" fillId="0" borderId="0" xfId="0" applyNumberFormat="1" applyFont="1" applyFill="1" applyBorder="1" applyAlignment="1" applyProtection="1">
      <alignment horizontal="right" wrapText="1"/>
      <protection/>
    </xf>
    <xf numFmtId="0" fontId="3" fillId="5" borderId="13" xfId="0" applyNumberFormat="1" applyFont="1" applyFill="1" applyBorder="1" applyAlignment="1" applyProtection="1">
      <alignment horizontal="center" wrapText="1"/>
      <protection/>
    </xf>
    <xf numFmtId="0" fontId="3" fillId="5"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left" wrapText="1"/>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 fillId="0" borderId="21" xfId="0" applyNumberFormat="1" applyFont="1" applyFill="1" applyBorder="1" applyAlignment="1" applyProtection="1">
      <alignment horizontal="center" wrapText="1"/>
      <protection/>
    </xf>
    <xf numFmtId="0" fontId="4" fillId="0" borderId="22" xfId="0" applyNumberFormat="1" applyFont="1" applyFill="1" applyBorder="1" applyAlignment="1" applyProtection="1">
      <alignment horizontal="center" wrapText="1"/>
      <protection/>
    </xf>
    <xf numFmtId="0" fontId="4" fillId="0" borderId="23" xfId="0" applyNumberFormat="1" applyFont="1" applyFill="1" applyBorder="1" applyAlignment="1" applyProtection="1">
      <alignment horizontal="center" wrapText="1"/>
      <protection/>
    </xf>
    <xf numFmtId="0" fontId="0" fillId="0" borderId="0" xfId="0" applyAlignment="1">
      <alignment horizontal="center"/>
    </xf>
    <xf numFmtId="0" fontId="48" fillId="0" borderId="15" xfId="0" applyNumberFormat="1" applyFont="1" applyFill="1" applyBorder="1" applyAlignment="1" applyProtection="1">
      <alignment horizontal="left" wrapText="1"/>
      <protection/>
    </xf>
    <xf numFmtId="0" fontId="3" fillId="0" borderId="16" xfId="0" applyNumberFormat="1" applyFont="1" applyFill="1" applyBorder="1" applyAlignment="1" applyProtection="1">
      <alignment horizontal="left" wrapText="1"/>
      <protection/>
    </xf>
    <xf numFmtId="0" fontId="3" fillId="0" borderId="17" xfId="0" applyNumberFormat="1" applyFont="1" applyFill="1" applyBorder="1" applyAlignment="1" applyProtection="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15"/>
  <sheetViews>
    <sheetView tabSelected="1" zoomScalePageLayoutView="0" workbookViewId="0" topLeftCell="A13">
      <selection activeCell="B39" sqref="B39"/>
    </sheetView>
  </sheetViews>
  <sheetFormatPr defaultColWidth="9.140625" defaultRowHeight="12.75"/>
  <cols>
    <col min="1" max="1" width="72.8515625" style="0" customWidth="1"/>
    <col min="2" max="5" width="26.140625" style="11" customWidth="1"/>
  </cols>
  <sheetData>
    <row r="1" spans="1:5" s="5" customFormat="1" ht="75" customHeight="1">
      <c r="A1" s="40" t="s">
        <v>352</v>
      </c>
      <c r="B1" s="41"/>
      <c r="C1" s="41"/>
      <c r="D1" s="41"/>
      <c r="E1" s="42"/>
    </row>
    <row r="2" spans="1:5" s="5" customFormat="1" ht="12.75">
      <c r="A2" s="49"/>
      <c r="B2" s="49"/>
      <c r="C2" s="49"/>
      <c r="D2" s="49"/>
      <c r="E2" s="49"/>
    </row>
    <row r="3" spans="1:5" s="5" customFormat="1" ht="72" customHeight="1">
      <c r="A3" s="43" t="s">
        <v>353</v>
      </c>
      <c r="B3" s="44"/>
      <c r="C3" s="44"/>
      <c r="D3" s="44"/>
      <c r="E3" s="45"/>
    </row>
    <row r="4" spans="1:5" s="5" customFormat="1" ht="12.75">
      <c r="A4" s="46" t="s">
        <v>327</v>
      </c>
      <c r="B4" s="47"/>
      <c r="C4" s="47"/>
      <c r="D4" s="47"/>
      <c r="E4" s="48"/>
    </row>
    <row r="5" spans="2:5" s="5" customFormat="1" ht="12.75">
      <c r="B5" s="11"/>
      <c r="C5" s="11"/>
      <c r="D5" s="11"/>
      <c r="E5" s="11"/>
    </row>
    <row r="6" spans="1:5" s="5" customFormat="1" ht="18.75">
      <c r="A6" s="26" t="s">
        <v>330</v>
      </c>
      <c r="B6" s="11"/>
      <c r="C6" s="11"/>
      <c r="D6" s="11"/>
      <c r="E6" s="11"/>
    </row>
    <row r="7" spans="2:5" s="5" customFormat="1" ht="12.75">
      <c r="B7" s="11"/>
      <c r="C7" s="11"/>
      <c r="D7" s="11"/>
      <c r="E7" s="11"/>
    </row>
    <row r="8" spans="1:5" s="5" customFormat="1" ht="131.25" customHeight="1">
      <c r="A8" s="50" t="s">
        <v>354</v>
      </c>
      <c r="B8" s="51"/>
      <c r="C8" s="51"/>
      <c r="D8" s="51"/>
      <c r="E8" s="52"/>
    </row>
    <row r="9" s="5" customFormat="1" ht="12.75"/>
    <row r="10" s="5" customFormat="1" ht="12.75"/>
    <row r="11" spans="1:5" s="5" customFormat="1" ht="18.75">
      <c r="A11" s="8" t="s">
        <v>264</v>
      </c>
      <c r="B11" s="28"/>
      <c r="C11" s="28"/>
      <c r="D11" s="28"/>
      <c r="E11" s="28"/>
    </row>
    <row r="12" spans="1:5" s="5" customFormat="1" ht="12.75">
      <c r="A12" s="1"/>
      <c r="B12" s="1"/>
      <c r="C12" s="1"/>
      <c r="D12" s="1"/>
      <c r="E12" s="1"/>
    </row>
    <row r="13" spans="1:5" s="5" customFormat="1" ht="15">
      <c r="A13" s="29" t="s">
        <v>0</v>
      </c>
      <c r="B13" s="36" t="str">
        <f>CONCATENATE($A$6," Ward")</f>
        <v>Aird and Loch Ness Ward</v>
      </c>
      <c r="C13" s="37"/>
      <c r="D13" s="30" t="s">
        <v>1</v>
      </c>
      <c r="E13" s="30" t="s">
        <v>2</v>
      </c>
    </row>
    <row r="14" spans="1:5" s="5" customFormat="1" ht="15">
      <c r="A14" s="29" t="s">
        <v>3</v>
      </c>
      <c r="B14" s="29" t="s">
        <v>4</v>
      </c>
      <c r="C14" s="29" t="s">
        <v>5</v>
      </c>
      <c r="D14" s="29" t="s">
        <v>4</v>
      </c>
      <c r="E14" s="29" t="s">
        <v>4</v>
      </c>
    </row>
    <row r="15" spans="1:5" s="5" customFormat="1" ht="12.75">
      <c r="A15" s="1"/>
      <c r="B15" s="1"/>
      <c r="C15" s="1"/>
      <c r="D15" s="1"/>
      <c r="E15" s="1"/>
    </row>
    <row r="16" spans="1:5" s="5" customFormat="1" ht="15">
      <c r="A16" s="6" t="s">
        <v>154</v>
      </c>
      <c r="B16" s="6"/>
      <c r="C16" s="6"/>
      <c r="D16" s="6"/>
      <c r="E16" s="6"/>
    </row>
    <row r="17" spans="1:5" s="5" customFormat="1" ht="12.75">
      <c r="A17" s="2" t="s">
        <v>409</v>
      </c>
      <c r="B17" s="14" t="s">
        <v>153</v>
      </c>
      <c r="C17" s="15">
        <f>VLOOKUP($A$6,data!$A$2:$GZ$25,2,FALSE)</f>
        <v>2453.38361871</v>
      </c>
      <c r="D17" s="14" t="s">
        <v>153</v>
      </c>
      <c r="E17" s="14" t="s">
        <v>153</v>
      </c>
    </row>
    <row r="18" spans="1:5" s="5" customFormat="1" ht="12.75">
      <c r="A18" s="2" t="s">
        <v>410</v>
      </c>
      <c r="B18" s="14" t="s">
        <v>153</v>
      </c>
      <c r="C18" s="16">
        <f>C21/C17</f>
        <v>4.683490480611916</v>
      </c>
      <c r="D18" s="14" t="s">
        <v>153</v>
      </c>
      <c r="E18" s="14" t="s">
        <v>153</v>
      </c>
    </row>
    <row r="19" spans="1:5" s="5" customFormat="1" ht="12.75">
      <c r="A19" s="1"/>
      <c r="B19" s="12"/>
      <c r="C19" s="12"/>
      <c r="D19" s="12"/>
      <c r="E19" s="12"/>
    </row>
    <row r="20" spans="1:5" s="5" customFormat="1" ht="15">
      <c r="A20" s="6" t="s">
        <v>9</v>
      </c>
      <c r="B20" s="13"/>
      <c r="C20" s="13"/>
      <c r="D20" s="13"/>
      <c r="E20" s="13"/>
    </row>
    <row r="21" spans="1:5" s="5" customFormat="1" ht="12.75">
      <c r="A21" s="3" t="s">
        <v>6</v>
      </c>
      <c r="B21" s="17">
        <f>C21/C$21</f>
        <v>1</v>
      </c>
      <c r="C21" s="23">
        <f>VLOOKUP($A$6,data!$A$2:$GZ$25,3,FALSE)</f>
        <v>11490.3988235175</v>
      </c>
      <c r="D21" s="17">
        <v>1</v>
      </c>
      <c r="E21" s="17">
        <v>1</v>
      </c>
    </row>
    <row r="22" spans="1:5" s="5" customFormat="1" ht="12.75">
      <c r="A22" s="2" t="s">
        <v>10</v>
      </c>
      <c r="B22" s="14">
        <f>C22/C$21</f>
        <v>0.04630988027052608</v>
      </c>
      <c r="C22" s="15">
        <f>VLOOKUP($A$6,data!$A$2:$GZ$25,4,FALSE)</f>
        <v>532.1189937776892</v>
      </c>
      <c r="D22" s="14">
        <v>0.0547318</v>
      </c>
      <c r="E22" s="14">
        <v>0.05529720778569</v>
      </c>
    </row>
    <row r="23" spans="1:5" s="5" customFormat="1" ht="12.75">
      <c r="A23" s="2" t="s">
        <v>11</v>
      </c>
      <c r="B23" s="14">
        <f aca="true" t="shared" si="0" ref="B23:B32">C23/C$21</f>
        <v>0.12947588829394846</v>
      </c>
      <c r="C23" s="15">
        <f>VLOOKUP($A$6,data!$A$2:$GZ$25,5,FALSE)</f>
        <v>1487.7295945266687</v>
      </c>
      <c r="D23" s="14">
        <v>0.1236064</v>
      </c>
      <c r="E23" s="14">
        <v>0.11774552380621</v>
      </c>
    </row>
    <row r="24" spans="1:5" s="5" customFormat="1" ht="12.75">
      <c r="A24" s="2" t="s">
        <v>12</v>
      </c>
      <c r="B24" s="14">
        <f t="shared" si="0"/>
        <v>0.12092791959175027</v>
      </c>
      <c r="C24" s="15">
        <f>VLOOKUP($A$6,data!$A$2:$GZ$25,6,FALSE)</f>
        <v>1389.510025007466</v>
      </c>
      <c r="D24" s="14">
        <v>0.1499362</v>
      </c>
      <c r="E24" s="14">
        <v>0.18471115418411</v>
      </c>
    </row>
    <row r="25" spans="1:5" s="5" customFormat="1" ht="12.75">
      <c r="A25" s="2" t="s">
        <v>13</v>
      </c>
      <c r="B25" s="14">
        <f t="shared" si="0"/>
        <v>0.17481628766995638</v>
      </c>
      <c r="C25" s="15">
        <f>VLOOKUP($A$6,data!$A$2:$GZ$25,7,FALSE)</f>
        <v>2008.7088661745638</v>
      </c>
      <c r="D25" s="14">
        <v>0.1866395</v>
      </c>
      <c r="E25" s="14">
        <v>0.1995030406562</v>
      </c>
    </row>
    <row r="26" spans="1:5" s="5" customFormat="1" ht="12.75">
      <c r="A26" s="2" t="s">
        <v>14</v>
      </c>
      <c r="B26" s="14">
        <f t="shared" si="0"/>
        <v>0.25253137862141983</v>
      </c>
      <c r="C26" s="15">
        <f>VLOOKUP($A$6,data!$A$2:$GZ$25,8,FALSE)</f>
        <v>2901.686255812815</v>
      </c>
      <c r="D26" s="14">
        <v>0.2265952</v>
      </c>
      <c r="E26" s="14">
        <v>0.21105985701182</v>
      </c>
    </row>
    <row r="27" spans="1:5" s="5" customFormat="1" ht="12.75">
      <c r="A27" s="2" t="s">
        <v>15</v>
      </c>
      <c r="B27" s="14">
        <f t="shared" si="0"/>
        <v>0.19455859117975882</v>
      </c>
      <c r="C27" s="15">
        <f>VLOOKUP($A$6,data!$A$2:$GZ$25,9,FALSE)</f>
        <v>2235.555807197123</v>
      </c>
      <c r="D27" s="14">
        <v>0.1758784</v>
      </c>
      <c r="E27" s="14">
        <v>0.15453290335032</v>
      </c>
    </row>
    <row r="28" spans="1:5" s="5" customFormat="1" ht="12.75">
      <c r="A28" s="2" t="s">
        <v>16</v>
      </c>
      <c r="B28" s="14">
        <f t="shared" si="0"/>
        <v>0.08138005437264019</v>
      </c>
      <c r="C28" s="15">
        <f>VLOOKUP($A$6,data!$A$2:$GZ$25,10,FALSE)</f>
        <v>935.0892810211751</v>
      </c>
      <c r="D28" s="14">
        <v>0.0826125</v>
      </c>
      <c r="E28" s="14">
        <v>0.07715031320562</v>
      </c>
    </row>
    <row r="29" spans="1:5" s="5" customFormat="1" ht="15">
      <c r="A29" s="7" t="s">
        <v>17</v>
      </c>
      <c r="B29" s="18"/>
      <c r="C29" s="19"/>
      <c r="D29" s="19"/>
      <c r="E29" s="19"/>
    </row>
    <row r="30" spans="1:5" s="5" customFormat="1" ht="12.75">
      <c r="A30" s="2" t="s">
        <v>18</v>
      </c>
      <c r="B30" s="14">
        <f t="shared" si="0"/>
        <v>0.17578576856447453</v>
      </c>
      <c r="C30" s="15">
        <f>VLOOKUP($A$6,data!$A$2:$GZ$25,11,FALSE)</f>
        <v>2019.8485883043577</v>
      </c>
      <c r="D30" s="14">
        <v>0.1783382</v>
      </c>
      <c r="E30" s="14">
        <v>0.17304273159191</v>
      </c>
    </row>
    <row r="31" spans="1:5" s="5" customFormat="1" ht="12.75">
      <c r="A31" s="2" t="s">
        <v>19</v>
      </c>
      <c r="B31" s="14">
        <f t="shared" si="0"/>
        <v>0.6312688239020424</v>
      </c>
      <c r="C31" s="15">
        <f>VLOOKUP($A$6,data!$A$2:$GZ$25,12,FALSE)</f>
        <v>7253.530551487304</v>
      </c>
      <c r="D31" s="14">
        <v>0.6362501</v>
      </c>
      <c r="E31" s="14">
        <v>0.65882388932438</v>
      </c>
    </row>
    <row r="32" spans="1:5" s="5" customFormat="1" ht="12.75">
      <c r="A32" s="2" t="s">
        <v>20</v>
      </c>
      <c r="B32" s="14">
        <f t="shared" si="0"/>
        <v>0.19294540753348305</v>
      </c>
      <c r="C32" s="15">
        <f>VLOOKUP($A$6,data!$A$2:$GZ$25,13,FALSE)</f>
        <v>2217.019683725838</v>
      </c>
      <c r="D32" s="14">
        <v>0.1854117</v>
      </c>
      <c r="E32" s="14">
        <v>0.1681333790837</v>
      </c>
    </row>
    <row r="33" spans="1:5" s="5" customFormat="1" ht="12.75">
      <c r="A33" s="1"/>
      <c r="B33" s="12"/>
      <c r="C33" s="12"/>
      <c r="D33" s="12"/>
      <c r="E33" s="12"/>
    </row>
    <row r="34" spans="1:5" s="5" customFormat="1" ht="15">
      <c r="A34" s="6" t="s">
        <v>152</v>
      </c>
      <c r="B34" s="13"/>
      <c r="C34" s="13"/>
      <c r="D34" s="13"/>
      <c r="E34" s="13"/>
    </row>
    <row r="35" spans="1:5" s="5" customFormat="1" ht="12.75">
      <c r="A35" s="2" t="s">
        <v>7</v>
      </c>
      <c r="B35" s="14">
        <f>C35/C$21</f>
        <v>0.49512527222004565</v>
      </c>
      <c r="C35" s="15">
        <f>VLOOKUP($A$6,data!$A$2:$GZ$25,14,FALSE)</f>
        <v>5689.1868454109945</v>
      </c>
      <c r="D35" s="14">
        <v>0.488821</v>
      </c>
      <c r="E35" s="14">
        <v>0.48484392972546</v>
      </c>
    </row>
    <row r="36" spans="1:5" s="5" customFormat="1" ht="12.75">
      <c r="A36" s="2" t="s">
        <v>8</v>
      </c>
      <c r="B36" s="14">
        <f>C36/C$21</f>
        <v>0.5048747277799543</v>
      </c>
      <c r="C36" s="15">
        <f>VLOOKUP($A$6,data!$A$2:$GZ$25,15,FALSE)</f>
        <v>5801.211978106506</v>
      </c>
      <c r="D36" s="14">
        <v>0.511179</v>
      </c>
      <c r="E36" s="14">
        <v>0.51515607027453</v>
      </c>
    </row>
    <row r="37" spans="1:5" s="5" customFormat="1" ht="12.75">
      <c r="A37" s="1"/>
      <c r="B37" s="12"/>
      <c r="C37" s="12"/>
      <c r="D37" s="12"/>
      <c r="E37" s="12"/>
    </row>
    <row r="38" spans="1:5" s="5" customFormat="1" ht="15">
      <c r="A38" s="6" t="s">
        <v>22</v>
      </c>
      <c r="B38" s="13"/>
      <c r="C38" s="13"/>
      <c r="D38" s="13"/>
      <c r="E38" s="13"/>
    </row>
    <row r="39" spans="1:5" s="5" customFormat="1" ht="12.75">
      <c r="A39" s="2" t="s">
        <v>23</v>
      </c>
      <c r="B39" s="14">
        <f>C39/C$21</f>
        <v>0.9951215971367485</v>
      </c>
      <c r="C39" s="15">
        <f>VLOOKUP($A$6,data!$A$2:$GZ$25,16,FALSE)</f>
        <v>11434.344028996951</v>
      </c>
      <c r="D39" s="14">
        <v>0.9837679</v>
      </c>
      <c r="E39" s="14">
        <v>0.98130132871851</v>
      </c>
    </row>
    <row r="40" spans="1:5" s="5" customFormat="1" ht="12.75">
      <c r="A40" s="2" t="s">
        <v>24</v>
      </c>
      <c r="B40" s="14">
        <f>C40/C$21</f>
        <v>0.00487840286325137</v>
      </c>
      <c r="C40" s="15">
        <f>VLOOKUP($A$6,data!$A$2:$GZ$25,17,FALSE)</f>
        <v>56.054794520547944</v>
      </c>
      <c r="D40" s="14">
        <v>0.0162321</v>
      </c>
      <c r="E40" s="14">
        <v>0.01869867128148</v>
      </c>
    </row>
    <row r="41" s="5" customFormat="1" ht="12.75"/>
    <row r="42" spans="1:5" s="5" customFormat="1" ht="18.75">
      <c r="A42" s="8" t="s">
        <v>265</v>
      </c>
      <c r="B42" s="28"/>
      <c r="C42" s="28"/>
      <c r="D42" s="28"/>
      <c r="E42" s="28"/>
    </row>
    <row r="43" spans="1:5" s="5" customFormat="1" ht="12.75">
      <c r="A43" s="1"/>
      <c r="B43" s="1"/>
      <c r="C43" s="1"/>
      <c r="D43" s="1"/>
      <c r="E43" s="1"/>
    </row>
    <row r="44" spans="1:5" s="5" customFormat="1" ht="15">
      <c r="A44" s="29" t="s">
        <v>0</v>
      </c>
      <c r="B44" s="36" t="str">
        <f>CONCATENATE($A$6," Ward")</f>
        <v>Aird and Loch Ness Ward</v>
      </c>
      <c r="C44" s="37"/>
      <c r="D44" s="30" t="s">
        <v>1</v>
      </c>
      <c r="E44" s="30" t="s">
        <v>2</v>
      </c>
    </row>
    <row r="45" spans="1:5" s="5" customFormat="1" ht="15">
      <c r="A45" s="29" t="s">
        <v>3</v>
      </c>
      <c r="B45" s="29" t="s">
        <v>4</v>
      </c>
      <c r="C45" s="29" t="s">
        <v>5</v>
      </c>
      <c r="D45" s="29" t="s">
        <v>4</v>
      </c>
      <c r="E45" s="29" t="s">
        <v>4</v>
      </c>
    </row>
    <row r="46" spans="1:5" s="5" customFormat="1" ht="12.75">
      <c r="A46" s="1"/>
      <c r="B46" s="1"/>
      <c r="C46" s="1"/>
      <c r="D46" s="1"/>
      <c r="E46" s="1"/>
    </row>
    <row r="47" spans="1:5" s="32" customFormat="1" ht="15">
      <c r="A47" s="38" t="s">
        <v>411</v>
      </c>
      <c r="B47" s="38"/>
      <c r="C47" s="38"/>
      <c r="D47" s="38"/>
      <c r="E47" s="31"/>
    </row>
    <row r="48" spans="1:5" s="32" customFormat="1" ht="12.75">
      <c r="A48" s="3" t="s">
        <v>355</v>
      </c>
      <c r="B48" s="17">
        <f>C48/C$48</f>
        <v>1</v>
      </c>
      <c r="C48" s="23">
        <f>VLOOKUP($A$6,data!$A$2:$GZ$25,150,FALSE)</f>
        <v>5424.840824078238</v>
      </c>
      <c r="D48" s="17">
        <v>1</v>
      </c>
      <c r="E48" s="17">
        <v>1</v>
      </c>
    </row>
    <row r="49" spans="1:5" s="32" customFormat="1" ht="12.75">
      <c r="A49" s="2" t="s">
        <v>412</v>
      </c>
      <c r="B49" s="14">
        <f>C49/C$48</f>
        <v>0.9039580318529171</v>
      </c>
      <c r="C49" s="15">
        <f>VLOOKUP($A$6,data!$A$2:$GZ$25,151,FALSE)</f>
        <v>4903.828434449121</v>
      </c>
      <c r="D49" s="14">
        <v>0.9161073223259152</v>
      </c>
      <c r="E49" s="14">
        <v>0.9591314214386222</v>
      </c>
    </row>
    <row r="50" spans="1:5" s="32" customFormat="1" ht="12.75">
      <c r="A50" s="2" t="s">
        <v>413</v>
      </c>
      <c r="B50" s="14">
        <f>C50/C$48</f>
        <v>0.09604196814708275</v>
      </c>
      <c r="C50" s="15">
        <f>VLOOKUP($A$6,data!$A$2:$GZ$25,152,FALSE)</f>
        <v>521.0123896291163</v>
      </c>
      <c r="D50" s="14">
        <v>0.0838926776740847</v>
      </c>
      <c r="E50" s="14">
        <v>0.04086857856137785</v>
      </c>
    </row>
    <row r="51" spans="1:5" s="32" customFormat="1" ht="12.75">
      <c r="A51" s="2" t="s">
        <v>414</v>
      </c>
      <c r="B51" s="14">
        <f>C51/C$48</f>
        <v>0.061146384871286076</v>
      </c>
      <c r="C51" s="15">
        <f>VLOOKUP($A$6,data!$A$2:$GZ$25,153,FALSE)</f>
        <v>331.7094048945527</v>
      </c>
      <c r="D51" s="14">
        <v>0.05703517587939696</v>
      </c>
      <c r="E51" s="14">
        <v>0.014811545098571839</v>
      </c>
    </row>
    <row r="52" spans="1:5" s="32" customFormat="1" ht="12.75">
      <c r="A52" s="2" t="s">
        <v>415</v>
      </c>
      <c r="B52" s="14">
        <f>C52/C$48</f>
        <v>0.034895583275796685</v>
      </c>
      <c r="C52" s="15">
        <f>VLOOKUP($A$6,data!$A$2:$GZ$25,154,FALSE)</f>
        <v>189.3029847345637</v>
      </c>
      <c r="D52" s="14">
        <v>0.02685750179468772</v>
      </c>
      <c r="E52" s="14">
        <v>0.026057033462806013</v>
      </c>
    </row>
    <row r="53" spans="1:5" s="32" customFormat="1" ht="12.75">
      <c r="A53" s="33"/>
      <c r="B53" s="34"/>
      <c r="C53" s="35"/>
      <c r="D53" s="34"/>
      <c r="E53" s="31"/>
    </row>
    <row r="54" spans="1:5" s="32" customFormat="1" ht="15">
      <c r="A54" s="38" t="s">
        <v>416</v>
      </c>
      <c r="B54" s="38"/>
      <c r="C54" s="38"/>
      <c r="D54" s="38"/>
      <c r="E54" s="31"/>
    </row>
    <row r="55" spans="1:5" s="32" customFormat="1" ht="12.75">
      <c r="A55" s="3" t="s">
        <v>417</v>
      </c>
      <c r="B55" s="17">
        <f aca="true" t="shared" si="1" ref="B55:B60">C55/C$55</f>
        <v>1</v>
      </c>
      <c r="C55" s="23">
        <f>VLOOKUP($A$6,data!$A$2:$GZ$25,155,FALSE)</f>
        <v>4902.828434449121</v>
      </c>
      <c r="D55" s="17">
        <v>1</v>
      </c>
      <c r="E55" s="17">
        <v>1</v>
      </c>
    </row>
    <row r="56" spans="1:5" s="32" customFormat="1" ht="12.75">
      <c r="A56" s="2" t="s">
        <v>418</v>
      </c>
      <c r="B56" s="14">
        <f t="shared" si="1"/>
        <v>0.6493541520380823</v>
      </c>
      <c r="C56" s="15">
        <f>VLOOKUP($A$6,data!$A$2:$GZ$25,156,FALSE)</f>
        <v>3183.6720006399078</v>
      </c>
      <c r="D56" s="14">
        <v>0.42272932227646104</v>
      </c>
      <c r="E56" s="14">
        <v>0.21931006040323928</v>
      </c>
    </row>
    <row r="57" spans="1:5" s="32" customFormat="1" ht="12.75">
      <c r="A57" s="2" t="s">
        <v>419</v>
      </c>
      <c r="B57" s="14">
        <f t="shared" si="1"/>
        <v>0.1972024038175778</v>
      </c>
      <c r="C57" s="15">
        <f>VLOOKUP($A$6,data!$A$2:$GZ$25,157,FALSE)</f>
        <v>966.8495527785384</v>
      </c>
      <c r="D57" s="14">
        <v>0.285626065988355</v>
      </c>
      <c r="E57" s="14">
        <v>0.2282870511715462</v>
      </c>
    </row>
    <row r="58" spans="1:5" s="32" customFormat="1" ht="12.75">
      <c r="A58" s="2" t="s">
        <v>420</v>
      </c>
      <c r="B58" s="14">
        <f t="shared" si="1"/>
        <v>0.08613540738063043</v>
      </c>
      <c r="C58" s="15">
        <f>VLOOKUP($A$6,data!$A$2:$GZ$25,158,FALSE)</f>
        <v>422.3071245186136</v>
      </c>
      <c r="D58" s="14">
        <v>0.15590386010311907</v>
      </c>
      <c r="E58" s="14">
        <v>0.18637376465170727</v>
      </c>
    </row>
    <row r="59" spans="1:5" s="32" customFormat="1" ht="12.75">
      <c r="A59" s="2" t="s">
        <v>421</v>
      </c>
      <c r="B59" s="14">
        <f t="shared" si="1"/>
        <v>0.04849706674979648</v>
      </c>
      <c r="C59" s="15">
        <f>VLOOKUP($A$6,data!$A$2:$GZ$25,159,FALSE)</f>
        <v>237.77279784827923</v>
      </c>
      <c r="D59" s="14">
        <v>0.13178066615695272</v>
      </c>
      <c r="E59" s="14">
        <v>0.3644372344391236</v>
      </c>
    </row>
    <row r="60" spans="1:5" s="32" customFormat="1" ht="12.75">
      <c r="A60" s="2" t="s">
        <v>422</v>
      </c>
      <c r="B60" s="14">
        <f t="shared" si="1"/>
        <v>0.01881097001391306</v>
      </c>
      <c r="C60" s="15">
        <f>VLOOKUP($A$6,data!$A$2:$GZ$25,160,FALSE)</f>
        <v>92.22695866378274</v>
      </c>
      <c r="D60" s="14">
        <v>0.0039600854751122355</v>
      </c>
      <c r="E60" s="14">
        <v>0.0015918893343836288</v>
      </c>
    </row>
    <row r="61" spans="1:5" s="5" customFormat="1" ht="12.75">
      <c r="A61" s="1"/>
      <c r="B61" s="1"/>
      <c r="C61" s="1"/>
      <c r="D61" s="1"/>
      <c r="E61" s="1"/>
    </row>
    <row r="62" spans="1:5" s="5" customFormat="1" ht="15">
      <c r="A62" s="6" t="s">
        <v>27</v>
      </c>
      <c r="B62" s="6"/>
      <c r="C62" s="6"/>
      <c r="D62" s="6"/>
      <c r="E62" s="6"/>
    </row>
    <row r="63" spans="1:5" s="5" customFormat="1" ht="12.75">
      <c r="A63" s="3" t="s">
        <v>28</v>
      </c>
      <c r="B63" s="17">
        <f>C63/C$63</f>
        <v>1</v>
      </c>
      <c r="C63" s="23">
        <f>VLOOKUP($A$6,data!$A$2:$GZ$25,18,FALSE)</f>
        <v>4903.828434449121</v>
      </c>
      <c r="D63" s="17">
        <v>1</v>
      </c>
      <c r="E63" s="17">
        <v>1</v>
      </c>
    </row>
    <row r="64" spans="1:5" s="5" customFormat="1" ht="12.75">
      <c r="A64" s="2" t="s">
        <v>25</v>
      </c>
      <c r="B64" s="14" t="s">
        <v>153</v>
      </c>
      <c r="C64" s="20">
        <f>C39/C63</f>
        <v>2.3317177959716786</v>
      </c>
      <c r="D64" s="20">
        <v>2.2368671087559133</v>
      </c>
      <c r="E64" s="20">
        <v>2.1900018417238534</v>
      </c>
    </row>
    <row r="65" spans="1:5" s="5" customFormat="1" ht="12.75">
      <c r="A65" s="2" t="s">
        <v>29</v>
      </c>
      <c r="B65" s="14">
        <f aca="true" t="shared" si="2" ref="B65:B70">C65/C$63</f>
        <v>0.2713486709203158</v>
      </c>
      <c r="C65" s="15">
        <f>VLOOKUP($A$6,data!$A$2:$GZ$25,19,FALSE)</f>
        <v>1330.647328109022</v>
      </c>
      <c r="D65" s="14">
        <v>0.3171484</v>
      </c>
      <c r="E65" s="14">
        <v>0.3469833026871</v>
      </c>
    </row>
    <row r="66" spans="1:5" s="5" customFormat="1" ht="12.75">
      <c r="A66" s="2" t="s">
        <v>30</v>
      </c>
      <c r="B66" s="14">
        <f t="shared" si="2"/>
        <v>0.39336225423810006</v>
      </c>
      <c r="C66" s="15">
        <f>VLOOKUP($A$6,data!$A$2:$GZ$25,20,FALSE)</f>
        <v>1928.9810073717995</v>
      </c>
      <c r="D66" s="14">
        <v>0.3669275</v>
      </c>
      <c r="E66" s="14">
        <v>0.34038512679446</v>
      </c>
    </row>
    <row r="67" spans="1:5" s="5" customFormat="1" ht="12.75">
      <c r="A67" s="2" t="s">
        <v>31</v>
      </c>
      <c r="B67" s="14">
        <f t="shared" si="2"/>
        <v>0.14987169761728353</v>
      </c>
      <c r="C67" s="15">
        <f>VLOOKUP($A$6,data!$A$2:$GZ$25,21,FALSE)</f>
        <v>734.9450922947956</v>
      </c>
      <c r="D67" s="14">
        <v>0.1482501</v>
      </c>
      <c r="E67" s="14">
        <v>0.15066354739615</v>
      </c>
    </row>
    <row r="68" spans="1:5" s="5" customFormat="1" ht="12.75">
      <c r="A68" s="2" t="s">
        <v>32</v>
      </c>
      <c r="B68" s="14">
        <f t="shared" si="2"/>
        <v>0.12449944929312468</v>
      </c>
      <c r="C68" s="15">
        <f>VLOOKUP($A$6,data!$A$2:$GZ$25,22,FALSE)</f>
        <v>610.5239395168813</v>
      </c>
      <c r="D68" s="14">
        <v>0.1149954</v>
      </c>
      <c r="E68" s="14">
        <v>0.11477226894899</v>
      </c>
    </row>
    <row r="69" spans="1:5" s="5" customFormat="1" ht="12.75">
      <c r="A69" s="2" t="s">
        <v>33</v>
      </c>
      <c r="B69" s="14">
        <f t="shared" si="2"/>
        <v>0.04625435390730575</v>
      </c>
      <c r="C69" s="15">
        <f>VLOOKUP($A$6,data!$A$2:$GZ$25,23,FALSE)</f>
        <v>226.82341590771875</v>
      </c>
      <c r="D69" s="14">
        <v>0.039788</v>
      </c>
      <c r="E69" s="14">
        <v>0.03654873593262</v>
      </c>
    </row>
    <row r="70" spans="1:5" s="5" customFormat="1" ht="12.75">
      <c r="A70" s="2" t="s">
        <v>34</v>
      </c>
      <c r="B70" s="14">
        <f t="shared" si="2"/>
        <v>0.014663574023870177</v>
      </c>
      <c r="C70" s="15">
        <f>VLOOKUP($A$6,data!$A$2:$GZ$25,24,FALSE)</f>
        <v>71.90765124890409</v>
      </c>
      <c r="D70" s="14">
        <v>0.0128905</v>
      </c>
      <c r="E70" s="14">
        <v>0.01064701824065</v>
      </c>
    </row>
    <row r="71" spans="1:5" s="5" customFormat="1" ht="12.75">
      <c r="A71" s="1"/>
      <c r="B71" s="1"/>
      <c r="C71" s="1"/>
      <c r="D71" s="1"/>
      <c r="E71" s="1"/>
    </row>
    <row r="72" spans="1:5" s="5" customFormat="1" ht="15">
      <c r="A72" s="6" t="s">
        <v>35</v>
      </c>
      <c r="B72" s="6"/>
      <c r="C72" s="6"/>
      <c r="D72" s="6"/>
      <c r="E72" s="6"/>
    </row>
    <row r="73" spans="1:5" s="5" customFormat="1" ht="12.75">
      <c r="A73" s="2" t="s">
        <v>36</v>
      </c>
      <c r="B73" s="14">
        <f aca="true" t="shared" si="3" ref="B73:B78">C73/C$63</f>
        <v>0.7547062247876777</v>
      </c>
      <c r="C73" s="15">
        <f>VLOOKUP($A$6,data!$A$2:$GZ$25,25,FALSE)</f>
        <v>3700.949844769564</v>
      </c>
      <c r="D73" s="14">
        <v>0.6719495352185797</v>
      </c>
      <c r="E73" s="14">
        <v>0.619942792769822</v>
      </c>
    </row>
    <row r="74" spans="1:5" s="5" customFormat="1" ht="12.75">
      <c r="A74" s="2" t="s">
        <v>37</v>
      </c>
      <c r="B74" s="14">
        <f t="shared" si="3"/>
        <v>0.06463677931407234</v>
      </c>
      <c r="C74" s="15">
        <f>VLOOKUP($A$6,data!$A$2:$GZ$25,26,FALSE)</f>
        <v>316.9676763115607</v>
      </c>
      <c r="D74" s="14">
        <v>0.13177459325503718</v>
      </c>
      <c r="E74" s="14">
        <v>0.1318054751879338</v>
      </c>
    </row>
    <row r="75" spans="1:5" s="5" customFormat="1" ht="12.75">
      <c r="A75" s="2" t="s">
        <v>38</v>
      </c>
      <c r="B75" s="14">
        <f t="shared" si="3"/>
        <v>0.027384403319774202</v>
      </c>
      <c r="C75" s="15">
        <f>VLOOKUP($A$6,data!$A$2:$GZ$25,27,FALSE)</f>
        <v>134.28841565993164</v>
      </c>
      <c r="D75" s="14">
        <v>0.057448746706369805</v>
      </c>
      <c r="E75" s="14">
        <v>0.11112464424596159</v>
      </c>
    </row>
    <row r="76" spans="1:5" s="5" customFormat="1" ht="12.75">
      <c r="A76" s="2" t="s">
        <v>39</v>
      </c>
      <c r="B76" s="14">
        <f t="shared" si="3"/>
        <v>0.10827819199821002</v>
      </c>
      <c r="C76" s="15">
        <f>VLOOKUP($A$6,data!$A$2:$GZ$25,28,FALSE)</f>
        <v>530.9776767515636</v>
      </c>
      <c r="D76" s="14">
        <v>0.09872564672693968</v>
      </c>
      <c r="E76" s="14">
        <v>0.11103403311815649</v>
      </c>
    </row>
    <row r="77" spans="1:5" s="5" customFormat="1" ht="12.75">
      <c r="A77" s="2" t="s">
        <v>40</v>
      </c>
      <c r="B77" s="14">
        <f t="shared" si="3"/>
        <v>0.029862068377268416</v>
      </c>
      <c r="C77" s="15">
        <f>VLOOKUP($A$6,data!$A$2:$GZ$25,29,FALSE)</f>
        <v>146.43846001991278</v>
      </c>
      <c r="D77" s="14">
        <v>0.023312534895338473</v>
      </c>
      <c r="E77" s="14">
        <v>0.012845707793020583</v>
      </c>
    </row>
    <row r="78" spans="1:5" s="5" customFormat="1" ht="12.75">
      <c r="A78" s="2" t="s">
        <v>273</v>
      </c>
      <c r="B78" s="14">
        <f t="shared" si="3"/>
        <v>0.015132332202997383</v>
      </c>
      <c r="C78" s="15">
        <f>C63-SUM(C73:C77)</f>
        <v>74.20636093658868</v>
      </c>
      <c r="D78" s="14">
        <v>0.01678894319773521</v>
      </c>
      <c r="E78" s="14">
        <v>0.013247346885105512</v>
      </c>
    </row>
    <row r="79" spans="1:5" s="5" customFormat="1" ht="12.75">
      <c r="A79" s="1"/>
      <c r="B79" s="1"/>
      <c r="C79" s="1"/>
      <c r="D79" s="1"/>
      <c r="E79" s="1"/>
    </row>
    <row r="80" spans="1:5" s="5" customFormat="1" ht="15">
      <c r="A80" s="38" t="s">
        <v>423</v>
      </c>
      <c r="B80" s="38"/>
      <c r="C80" s="38"/>
      <c r="D80" s="38"/>
      <c r="E80" s="1"/>
    </row>
    <row r="81" spans="1:5" s="5" customFormat="1" ht="12.75">
      <c r="A81" s="2" t="s">
        <v>424</v>
      </c>
      <c r="B81" s="14">
        <f>C81/C$63</f>
        <v>0.13218100825680015</v>
      </c>
      <c r="C81" s="15">
        <f>VLOOKUP($A$6,data!$A$2:$GZ$25,161,FALSE)</f>
        <v>648.1929867838506</v>
      </c>
      <c r="D81" s="14">
        <v>0.13470335289104818</v>
      </c>
      <c r="E81" s="14">
        <v>0.13143544462880413</v>
      </c>
    </row>
    <row r="82" spans="1:5" s="5" customFormat="1" ht="12.75">
      <c r="A82" s="2" t="s">
        <v>425</v>
      </c>
      <c r="B82" s="14">
        <f aca="true" t="shared" si="4" ref="B82:B95">C82/C$63</f>
        <v>0.13916766266351568</v>
      </c>
      <c r="C82" s="15">
        <f>VLOOKUP($A$6,data!$A$2:$GZ$25,162,FALSE)</f>
        <v>682.4543413251715</v>
      </c>
      <c r="D82" s="14">
        <v>0.1824450735128464</v>
      </c>
      <c r="E82" s="14">
        <v>0.21554785805830046</v>
      </c>
    </row>
    <row r="83" spans="1:5" s="5" customFormat="1" ht="12.75">
      <c r="A83" s="2" t="s">
        <v>426</v>
      </c>
      <c r="B83" s="14">
        <f t="shared" si="4"/>
        <v>0.097967958532094</v>
      </c>
      <c r="C83" s="15">
        <f>VLOOKUP($A$6,data!$A$2:$GZ$25,163,FALSE)</f>
        <v>480.41806071461497</v>
      </c>
      <c r="D83" s="14">
        <v>0.08571764406264999</v>
      </c>
      <c r="E83" s="14">
        <v>0.07542723146760104</v>
      </c>
    </row>
    <row r="84" spans="1:5" s="5" customFormat="1" ht="12.75">
      <c r="A84" s="2" t="s">
        <v>427</v>
      </c>
      <c r="B84" s="14">
        <f t="shared" si="4"/>
        <v>0.18396704624104193</v>
      </c>
      <c r="C84" s="15">
        <f>VLOOKUP($A$6,data!$A$2:$GZ$25,164,FALSE)</f>
        <v>902.1428323584378</v>
      </c>
      <c r="D84" s="14">
        <v>0.15233468180348902</v>
      </c>
      <c r="E84" s="14">
        <v>0.125337526451074</v>
      </c>
    </row>
    <row r="85" spans="1:5" s="5" customFormat="1" ht="25.5">
      <c r="A85" s="2" t="s">
        <v>477</v>
      </c>
      <c r="B85" s="14">
        <f t="shared" si="4"/>
        <v>0.16384289376582026</v>
      </c>
      <c r="C85" s="15">
        <f>VLOOKUP($A$6,data!$A$2:$GZ$25,165,FALSE)</f>
        <v>803.457441231256</v>
      </c>
      <c r="D85" s="14">
        <v>0.14193219774514892</v>
      </c>
      <c r="E85" s="14">
        <v>0.13565792318452177</v>
      </c>
    </row>
    <row r="86" spans="1:5" s="5" customFormat="1" ht="25.5">
      <c r="A86" s="2" t="s">
        <v>428</v>
      </c>
      <c r="B86" s="14">
        <f t="shared" si="4"/>
        <v>0.06331870663031494</v>
      </c>
      <c r="C86" s="15">
        <f>VLOOKUP($A$6,data!$A$2:$GZ$25,166,FALSE)</f>
        <v>310.5040740062805</v>
      </c>
      <c r="D86" s="14">
        <v>0.05645943325072729</v>
      </c>
      <c r="E86" s="14">
        <v>0.058653215198899857</v>
      </c>
    </row>
    <row r="87" spans="1:5" s="5" customFormat="1" ht="12.75">
      <c r="A87" s="2" t="s">
        <v>429</v>
      </c>
      <c r="B87" s="14">
        <f t="shared" si="4"/>
        <v>0.04926427254248546</v>
      </c>
      <c r="C87" s="15">
        <f>VLOOKUP($A$6,data!$A$2:$GZ$25,167,FALSE)</f>
        <v>241.58354049629128</v>
      </c>
      <c r="D87" s="14">
        <v>0.05114064902880765</v>
      </c>
      <c r="E87" s="14">
        <v>0.04957777321678354</v>
      </c>
    </row>
    <row r="88" spans="1:5" s="5" customFormat="1" ht="12.75">
      <c r="A88" s="2" t="s">
        <v>430</v>
      </c>
      <c r="B88" s="14">
        <f t="shared" si="4"/>
        <v>0.03854036077854828</v>
      </c>
      <c r="C88" s="15">
        <f>VLOOKUP($A$6,data!$A$2:$GZ$25,168,FALSE)</f>
        <v>188.9953170597727</v>
      </c>
      <c r="D88" s="14">
        <v>0.04291269553633523</v>
      </c>
      <c r="E88" s="14">
        <v>0.03693857450573737</v>
      </c>
    </row>
    <row r="89" spans="1:5" s="5" customFormat="1" ht="12.75">
      <c r="A89" s="2" t="s">
        <v>431</v>
      </c>
      <c r="B89" s="14">
        <f t="shared" si="4"/>
        <v>0.005920124080778546</v>
      </c>
      <c r="C89" s="15">
        <f>VLOOKUP($A$6,data!$A$2:$GZ$25,169,FALSE)</f>
        <v>29.0312728027888</v>
      </c>
      <c r="D89" s="14">
        <v>0.005436326414669264</v>
      </c>
      <c r="E89" s="14">
        <v>0.005030814105160325</v>
      </c>
    </row>
    <row r="90" spans="1:5" s="5" customFormat="1" ht="12.75">
      <c r="A90" s="2" t="s">
        <v>432</v>
      </c>
      <c r="B90" s="14">
        <f t="shared" si="4"/>
        <v>0.04470706653211298</v>
      </c>
      <c r="C90" s="15">
        <f>VLOOKUP($A$6,data!$A$2:$GZ$25,170,FALSE)</f>
        <v>219.2357840809843</v>
      </c>
      <c r="D90" s="14">
        <v>0.06151374753896032</v>
      </c>
      <c r="E90" s="14">
        <v>0.07164685092615108</v>
      </c>
    </row>
    <row r="91" spans="1:5" s="5" customFormat="1" ht="12.75">
      <c r="A91" s="2" t="s">
        <v>433</v>
      </c>
      <c r="B91" s="14">
        <f t="shared" si="4"/>
        <v>0.028582514687814965</v>
      </c>
      <c r="C91" s="15">
        <f>VLOOKUP($A$6,data!$A$2:$GZ$25,171,FALSE)</f>
        <v>140.16374825416668</v>
      </c>
      <c r="D91" s="14">
        <v>0.03497859752573685</v>
      </c>
      <c r="E91" s="14">
        <v>0.03934545892850445</v>
      </c>
    </row>
    <row r="92" spans="1:5" s="5" customFormat="1" ht="12.75">
      <c r="A92" s="2" t="s">
        <v>434</v>
      </c>
      <c r="B92" s="14">
        <f t="shared" si="4"/>
        <v>0.014323984610657264</v>
      </c>
      <c r="C92" s="15">
        <f>VLOOKUP($A$6,data!$A$2:$GZ$25,172,FALSE)</f>
        <v>70.24236302835271</v>
      </c>
      <c r="D92" s="14">
        <v>0.015486183894760556</v>
      </c>
      <c r="E92" s="14">
        <v>0.015574156357719247</v>
      </c>
    </row>
    <row r="93" spans="1:5" s="5" customFormat="1" ht="12.75">
      <c r="A93" s="2" t="s">
        <v>435</v>
      </c>
      <c r="B93" s="14">
        <f t="shared" si="4"/>
        <v>0.000611766916420886</v>
      </c>
      <c r="C93" s="15">
        <f>VLOOKUP($A$6,data!$A$2:$GZ$25,173,FALSE)</f>
        <v>3</v>
      </c>
      <c r="D93" s="14">
        <v>0.000626891694664564</v>
      </c>
      <c r="E93" s="14">
        <v>0.008820045035837755</v>
      </c>
    </row>
    <row r="94" spans="1:5" s="5" customFormat="1" ht="12.75">
      <c r="A94" s="2" t="s">
        <v>436</v>
      </c>
      <c r="B94" s="14">
        <f t="shared" si="4"/>
        <v>0.005098057636840717</v>
      </c>
      <c r="C94" s="15">
        <f>VLOOKUP($A$6,data!$A$2:$GZ$25,174,FALSE)</f>
        <v>25</v>
      </c>
      <c r="D94" s="14">
        <v>0.003506675417029905</v>
      </c>
      <c r="E94" s="14">
        <v>0.0023592608997811426</v>
      </c>
    </row>
    <row r="95" spans="1:5" s="5" customFormat="1" ht="12.75">
      <c r="A95" s="2" t="s">
        <v>437</v>
      </c>
      <c r="B95" s="14">
        <f t="shared" si="4"/>
        <v>0.03250657612475402</v>
      </c>
      <c r="C95" s="15">
        <f>VLOOKUP($A$6,data!$A$2:$GZ$25,175,FALSE)</f>
        <v>159.40667230715368</v>
      </c>
      <c r="D95" s="14">
        <v>0.030805849683125844</v>
      </c>
      <c r="E95" s="14">
        <v>0.028647867035123824</v>
      </c>
    </row>
    <row r="96" spans="1:5" s="5" customFormat="1" ht="12.75">
      <c r="A96" s="33"/>
      <c r="B96" s="34"/>
      <c r="C96" s="35"/>
      <c r="D96" s="34"/>
      <c r="E96" s="1"/>
    </row>
    <row r="97" spans="1:5" s="5" customFormat="1" ht="15">
      <c r="A97" s="38" t="s">
        <v>438</v>
      </c>
      <c r="B97" s="38"/>
      <c r="C97" s="38"/>
      <c r="D97" s="38"/>
      <c r="E97" s="1"/>
    </row>
    <row r="98" spans="1:5" s="5" customFormat="1" ht="12.75">
      <c r="A98" s="3" t="s">
        <v>28</v>
      </c>
      <c r="B98" s="17">
        <f>C98/C$98</f>
        <v>1</v>
      </c>
      <c r="C98" s="23">
        <f>VLOOKUP($A$6,data!$A$2:$GZ$25,176,FALSE)</f>
        <v>4903.828434449121</v>
      </c>
      <c r="D98" s="17">
        <v>1</v>
      </c>
      <c r="E98" s="17">
        <v>1</v>
      </c>
    </row>
    <row r="99" spans="1:5" s="5" customFormat="1" ht="12.75">
      <c r="A99" s="2" t="s">
        <v>439</v>
      </c>
      <c r="B99" s="14">
        <f aca="true" t="shared" si="5" ref="B99:B106">C99/C$98</f>
        <v>0.01971013854514456</v>
      </c>
      <c r="C99" s="15">
        <f>VLOOKUP($A$6,data!$A$2:$GZ$25,177,FALSE)</f>
        <v>96.65513784461153</v>
      </c>
      <c r="D99" s="14">
        <v>0.029738174765650254</v>
      </c>
      <c r="E99" s="14">
        <v>0.03925864082465398</v>
      </c>
    </row>
    <row r="100" spans="1:5" s="5" customFormat="1" ht="12.75">
      <c r="A100" s="2" t="s">
        <v>440</v>
      </c>
      <c r="B100" s="14">
        <f t="shared" si="5"/>
        <v>0.26141430568713875</v>
      </c>
      <c r="C100" s="15">
        <f>VLOOKUP($A$6,data!$A$2:$GZ$25,178,FALSE)</f>
        <v>1281.9309054003656</v>
      </c>
      <c r="D100" s="14">
        <v>0.26184482471520504</v>
      </c>
      <c r="E100" s="14">
        <v>0.2598175049741295</v>
      </c>
    </row>
    <row r="101" spans="1:5" s="5" customFormat="1" ht="12.75">
      <c r="A101" s="2" t="s">
        <v>441</v>
      </c>
      <c r="B101" s="14">
        <f t="shared" si="5"/>
        <v>0.08671600810159612</v>
      </c>
      <c r="C101" s="15">
        <f>VLOOKUP($A$6,data!$A$2:$GZ$25,179,FALSE)</f>
        <v>425.24042625052743</v>
      </c>
      <c r="D101" s="14">
        <v>0.09901950220881371</v>
      </c>
      <c r="E101" s="14">
        <v>0.09992637319056953</v>
      </c>
    </row>
    <row r="102" spans="1:5" s="5" customFormat="1" ht="25.5">
      <c r="A102" s="2" t="s">
        <v>442</v>
      </c>
      <c r="B102" s="14">
        <f t="shared" si="5"/>
        <v>0.059476371084383965</v>
      </c>
      <c r="C102" s="15">
        <f>VLOOKUP($A$6,data!$A$2:$GZ$25,180,FALSE)</f>
        <v>291.6619197014496</v>
      </c>
      <c r="D102" s="14">
        <v>0.056410457337081624</v>
      </c>
      <c r="E102" s="14">
        <v>0.05724558186462529</v>
      </c>
    </row>
    <row r="103" spans="1:5" s="5" customFormat="1" ht="12.75">
      <c r="A103" s="2" t="s">
        <v>443</v>
      </c>
      <c r="B103" s="14">
        <f t="shared" si="5"/>
        <v>0.04470706653211298</v>
      </c>
      <c r="C103" s="15">
        <f>VLOOKUP($A$6,data!$A$2:$GZ$25,181,FALSE)</f>
        <v>219.2357840809843</v>
      </c>
      <c r="D103" s="14">
        <v>0.06132763906710678</v>
      </c>
      <c r="E103" s="14">
        <v>0.07152252402986037</v>
      </c>
    </row>
    <row r="104" spans="1:5" s="5" customFormat="1" ht="12.75">
      <c r="A104" s="2" t="s">
        <v>444</v>
      </c>
      <c r="B104" s="14">
        <f t="shared" si="5"/>
        <v>0.01771419293915634</v>
      </c>
      <c r="C104" s="15">
        <f>VLOOKUP($A$6,data!$A$2:$GZ$25,182,FALSE)</f>
        <v>86.86736302835271</v>
      </c>
      <c r="D104" s="14">
        <v>0.024321438716439252</v>
      </c>
      <c r="E104" s="14">
        <v>0.024805533769081546</v>
      </c>
    </row>
    <row r="105" spans="1:5" s="5" customFormat="1" ht="12.75">
      <c r="A105" s="2" t="s">
        <v>445</v>
      </c>
      <c r="B105" s="14">
        <f t="shared" si="5"/>
        <v>0.014163656269650805</v>
      </c>
      <c r="C105" s="15">
        <f>VLOOKUP($A$6,data!$A$2:$GZ$25,183,FALSE)</f>
        <v>69.45614035087719</v>
      </c>
      <c r="D105" s="14">
        <v>0.015319665788365282</v>
      </c>
      <c r="E105" s="14">
        <v>0.01672470695729097</v>
      </c>
    </row>
    <row r="106" spans="1:5" s="5" customFormat="1" ht="12.75">
      <c r="A106" s="2" t="s">
        <v>446</v>
      </c>
      <c r="B106" s="14">
        <f t="shared" si="5"/>
        <v>0.012829217323305832</v>
      </c>
      <c r="C106" s="15">
        <f>VLOOKUP($A$6,data!$A$2:$GZ$25,184,FALSE)</f>
        <v>62.91228070175438</v>
      </c>
      <c r="D106" s="14">
        <v>0.02168653456230226</v>
      </c>
      <c r="E106" s="14">
        <v>0.029992283303487854</v>
      </c>
    </row>
    <row r="107" spans="1:5" s="5" customFormat="1" ht="12.75">
      <c r="A107" s="31"/>
      <c r="B107" s="31"/>
      <c r="C107" s="31"/>
      <c r="D107" s="31"/>
      <c r="E107" s="1"/>
    </row>
    <row r="108" spans="1:5" s="5" customFormat="1" ht="15">
      <c r="A108" s="38" t="s">
        <v>447</v>
      </c>
      <c r="B108" s="38"/>
      <c r="C108" s="38"/>
      <c r="D108" s="38"/>
      <c r="E108" s="1"/>
    </row>
    <row r="109" spans="1:5" s="5" customFormat="1" ht="12.75">
      <c r="A109" s="2" t="s">
        <v>448</v>
      </c>
      <c r="B109" s="14">
        <f>C109/C$98</f>
        <v>0.0566375692825555</v>
      </c>
      <c r="C109" s="15">
        <f>VLOOKUP($A$6,data!$A$2:$GZ$25,185,FALSE)</f>
        <v>277.7409227058778</v>
      </c>
      <c r="D109" s="14">
        <v>0.05789932511190996</v>
      </c>
      <c r="E109" s="14">
        <v>0.054851340855040315</v>
      </c>
    </row>
    <row r="110" spans="1:5" s="5" customFormat="1" ht="12.75">
      <c r="A110" s="2" t="s">
        <v>449</v>
      </c>
      <c r="B110" s="14">
        <f>C110/C$98</f>
        <v>0.07554343897424462</v>
      </c>
      <c r="C110" s="15">
        <f>VLOOKUP($A$6,data!$A$2:$GZ$25,186,FALSE)</f>
        <v>370.45206407797275</v>
      </c>
      <c r="D110" s="14">
        <v>0.07680402777913822</v>
      </c>
      <c r="E110" s="14">
        <v>0.07658410377376382</v>
      </c>
    </row>
    <row r="111" spans="1:5" s="5" customFormat="1" ht="12.75">
      <c r="A111" s="2" t="s">
        <v>450</v>
      </c>
      <c r="B111" s="14">
        <f>C111/C$98</f>
        <v>0.11351074459148223</v>
      </c>
      <c r="C111" s="15">
        <f>VLOOKUP($A$6,data!$A$2:$GZ$25,187,FALSE)</f>
        <v>556.6372169432024</v>
      </c>
      <c r="D111" s="14">
        <v>0.09677640536384206</v>
      </c>
      <c r="E111" s="14">
        <v>0.08259604674185564</v>
      </c>
    </row>
    <row r="112" spans="1:5" s="5" customFormat="1" ht="12.75">
      <c r="A112" s="33"/>
      <c r="B112" s="34"/>
      <c r="C112" s="35"/>
      <c r="D112" s="34"/>
      <c r="E112" s="1"/>
    </row>
    <row r="113" spans="1:5" s="5" customFormat="1" ht="15">
      <c r="A113" s="38" t="s">
        <v>451</v>
      </c>
      <c r="B113" s="38"/>
      <c r="C113" s="38"/>
      <c r="D113" s="38"/>
      <c r="E113" s="1"/>
    </row>
    <row r="114" spans="1:5" s="5" customFormat="1" ht="12.75">
      <c r="A114" s="3" t="s">
        <v>393</v>
      </c>
      <c r="B114" s="17">
        <f>C114/C$114</f>
        <v>1</v>
      </c>
      <c r="C114" s="23">
        <f>VLOOKUP($A$6,data!$A$2:$GZ$25,188,FALSE)</f>
        <v>1453.2101194253896</v>
      </c>
      <c r="D114" s="17">
        <v>1</v>
      </c>
      <c r="E114" s="17">
        <v>1</v>
      </c>
    </row>
    <row r="115" spans="1:5" s="5" customFormat="1" ht="12.75">
      <c r="A115" s="2" t="s">
        <v>452</v>
      </c>
      <c r="B115" s="14">
        <f aca="true" t="shared" si="6" ref="B115:B120">C115/C$114</f>
        <v>0.8031942231106681</v>
      </c>
      <c r="C115" s="15">
        <f>VLOOKUP($A$6,data!$A$2:$GZ$25,189,FALSE)</f>
        <v>1167.209972888437</v>
      </c>
      <c r="D115" s="14">
        <v>0.7482207647222995</v>
      </c>
      <c r="E115" s="14">
        <v>0.6814416738792045</v>
      </c>
    </row>
    <row r="116" spans="1:5" s="5" customFormat="1" ht="12.75">
      <c r="A116" s="2" t="s">
        <v>453</v>
      </c>
      <c r="B116" s="14">
        <f t="shared" si="6"/>
        <v>0.0020643952033489988</v>
      </c>
      <c r="C116" s="15">
        <f>VLOOKUP($A$6,data!$A$2:$GZ$25,190,FALSE)</f>
        <v>3</v>
      </c>
      <c r="D116" s="14">
        <v>0.0033840357242534186</v>
      </c>
      <c r="E116" s="14">
        <v>0.003679217031023237</v>
      </c>
    </row>
    <row r="117" spans="1:5" s="5" customFormat="1" ht="12.75">
      <c r="A117" s="2" t="s">
        <v>454</v>
      </c>
      <c r="B117" s="14">
        <f t="shared" si="6"/>
        <v>0.08452400565407951</v>
      </c>
      <c r="C117" s="15">
        <f>VLOOKUP($A$6,data!$A$2:$GZ$25,191,FALSE)</f>
        <v>122.83114035087719</v>
      </c>
      <c r="D117" s="14">
        <v>0.1303028188668713</v>
      </c>
      <c r="E117" s="14">
        <v>0.1487548910879359</v>
      </c>
    </row>
    <row r="118" spans="1:5" s="5" customFormat="1" ht="12.75">
      <c r="A118" s="2" t="s">
        <v>455</v>
      </c>
      <c r="B118" s="14">
        <f t="shared" si="6"/>
        <v>0.019581573215392258</v>
      </c>
      <c r="C118" s="15">
        <f>VLOOKUP($A$6,data!$A$2:$GZ$25,192,FALSE)</f>
        <v>28.45614035087719</v>
      </c>
      <c r="D118" s="14">
        <v>0.04367848171922969</v>
      </c>
      <c r="E118" s="14">
        <v>0.10993882232146089</v>
      </c>
    </row>
    <row r="119" spans="1:5" s="5" customFormat="1" ht="12.75">
      <c r="A119" s="2" t="s">
        <v>456</v>
      </c>
      <c r="B119" s="14">
        <f t="shared" si="6"/>
        <v>0.058751061084327365</v>
      </c>
      <c r="C119" s="15">
        <f>VLOOKUP($A$6,data!$A$2:$GZ$25,193,FALSE)</f>
        <v>85.37763649472373</v>
      </c>
      <c r="D119" s="14">
        <v>0.0445157689087357</v>
      </c>
      <c r="E119" s="14">
        <v>0.035701239678940594</v>
      </c>
    </row>
    <row r="120" spans="1:5" s="5" customFormat="1" ht="12.75">
      <c r="A120" s="2" t="s">
        <v>457</v>
      </c>
      <c r="B120" s="14">
        <f t="shared" si="6"/>
        <v>0.031884741732183766</v>
      </c>
      <c r="C120" s="15">
        <f>VLOOKUP($A$6,data!$A$2:$GZ$25,194,FALSE)</f>
        <v>46.33522934047448</v>
      </c>
      <c r="D120" s="14">
        <v>0.029898130058610094</v>
      </c>
      <c r="E120" s="14">
        <v>0.020484156001434828</v>
      </c>
    </row>
    <row r="121" spans="1:5" s="5" customFormat="1" ht="12.75">
      <c r="A121" s="1"/>
      <c r="B121" s="1"/>
      <c r="C121" s="1"/>
      <c r="D121" s="1"/>
      <c r="E121" s="1"/>
    </row>
    <row r="122" spans="1:5" s="5" customFormat="1" ht="15">
      <c r="A122" s="6" t="s">
        <v>41</v>
      </c>
      <c r="B122" s="6"/>
      <c r="C122" s="6"/>
      <c r="D122" s="6"/>
      <c r="E122" s="6"/>
    </row>
    <row r="123" spans="1:5" s="5" customFormat="1" ht="12.75">
      <c r="A123" s="2" t="s">
        <v>26</v>
      </c>
      <c r="B123" s="14" t="s">
        <v>153</v>
      </c>
      <c r="C123" s="20">
        <f>VLOOKUP($A$6,data!$A$2:$GZ$25,30,FALSE)/C63</f>
        <v>1.5419764912893523</v>
      </c>
      <c r="D123" s="20">
        <v>1.2293835891508555</v>
      </c>
      <c r="E123" s="20">
        <v>1.0432400516356994</v>
      </c>
    </row>
    <row r="124" spans="1:5" s="5" customFormat="1" ht="12.75">
      <c r="A124" s="2" t="s">
        <v>42</v>
      </c>
      <c r="B124" s="14">
        <f>C124/C$63</f>
        <v>0.11026496371253046</v>
      </c>
      <c r="C124" s="15">
        <f>VLOOKUP($A$6,data!$A$2:$GZ$25,31,FALSE)</f>
        <v>540.7204643770074</v>
      </c>
      <c r="D124" s="14">
        <v>0.2063355</v>
      </c>
      <c r="E124" s="14">
        <v>0.30518839317812</v>
      </c>
    </row>
    <row r="125" spans="1:5" s="5" customFormat="1" ht="12.75">
      <c r="A125" s="2" t="s">
        <v>43</v>
      </c>
      <c r="B125" s="14">
        <f>C125/C$63</f>
        <v>0.4195985315940209</v>
      </c>
      <c r="C125" s="15">
        <f>VLOOKUP($A$6,data!$A$2:$GZ$25,32,FALSE)</f>
        <v>2057.6392102838577</v>
      </c>
      <c r="D125" s="14">
        <v>0.4630575</v>
      </c>
      <c r="E125" s="14">
        <v>0.42243497808685</v>
      </c>
    </row>
    <row r="126" spans="1:5" s="5" customFormat="1" ht="12.75">
      <c r="A126" s="2" t="s">
        <v>44</v>
      </c>
      <c r="B126" s="14">
        <f>C126/C$63</f>
        <v>0.3482860724197602</v>
      </c>
      <c r="C126" s="15">
        <f>VLOOKUP($A$6,data!$A$2:$GZ$25,33,FALSE)</f>
        <v>1707.935145254626</v>
      </c>
      <c r="D126" s="14">
        <v>0.2555465</v>
      </c>
      <c r="E126" s="14">
        <v>0.21613324808863</v>
      </c>
    </row>
    <row r="127" spans="1:5" s="5" customFormat="1" ht="12.75">
      <c r="A127" s="2" t="s">
        <v>45</v>
      </c>
      <c r="B127" s="14">
        <f>C127/C$63</f>
        <v>0.12185043227368854</v>
      </c>
      <c r="C127" s="15">
        <f>VLOOKUP($A$6,data!$A$2:$GZ$25,34,FALSE)</f>
        <v>597.5336145336307</v>
      </c>
      <c r="D127" s="14">
        <v>0.0750605</v>
      </c>
      <c r="E127" s="14">
        <v>0.05624338064639</v>
      </c>
    </row>
    <row r="128" s="5" customFormat="1" ht="12.75"/>
    <row r="129" spans="1:4" s="5" customFormat="1" ht="15">
      <c r="A129" s="39" t="s">
        <v>458</v>
      </c>
      <c r="B129" s="39"/>
      <c r="C129" s="39"/>
      <c r="D129" s="39"/>
    </row>
    <row r="130" spans="1:5" s="5" customFormat="1" ht="12.75">
      <c r="A130" s="3" t="s">
        <v>459</v>
      </c>
      <c r="B130" s="17">
        <f>C130/C$130</f>
        <v>1</v>
      </c>
      <c r="C130" s="23">
        <f>VLOOKUP($A$6,data!$A$2:$GZ$25,195,FALSE)</f>
        <v>7622.132800415978</v>
      </c>
      <c r="D130" s="17">
        <v>1</v>
      </c>
      <c r="E130" s="17">
        <v>1</v>
      </c>
    </row>
    <row r="131" spans="1:5" s="5" customFormat="1" ht="12.75">
      <c r="A131" s="2" t="s">
        <v>460</v>
      </c>
      <c r="B131" s="14">
        <f aca="true" t="shared" si="7" ref="B131:B141">C131/C$130</f>
        <v>0.17752808755888674</v>
      </c>
      <c r="C131" s="15">
        <f>VLOOKUP($A$6,data!$A$2:$GZ$25,196,FALSE)</f>
        <v>1353.1426591777104</v>
      </c>
      <c r="D131" s="14">
        <v>0.1490150976259964</v>
      </c>
      <c r="E131" s="14">
        <v>0.11288390728030409</v>
      </c>
    </row>
    <row r="132" spans="1:5" s="5" customFormat="1" ht="12.75">
      <c r="A132" s="2" t="s">
        <v>461</v>
      </c>
      <c r="B132" s="14">
        <f t="shared" si="7"/>
        <v>0.0009183781210972833</v>
      </c>
      <c r="C132" s="15">
        <f>VLOOKUP($A$6,data!$A$2:$GZ$25,197,FALSE)</f>
        <v>7</v>
      </c>
      <c r="D132" s="14">
        <v>0.00035899242791897416</v>
      </c>
      <c r="E132" s="14">
        <v>0.002893553439634382</v>
      </c>
    </row>
    <row r="133" spans="1:5" s="5" customFormat="1" ht="12.75">
      <c r="A133" s="2" t="s">
        <v>462</v>
      </c>
      <c r="B133" s="14">
        <f t="shared" si="7"/>
        <v>0.018914513937303565</v>
      </c>
      <c r="C133" s="15">
        <f>VLOOKUP($A$6,data!$A$2:$GZ$25,198,FALSE)</f>
        <v>144.16893708544666</v>
      </c>
      <c r="D133" s="14">
        <v>0.01198635828773908</v>
      </c>
      <c r="E133" s="14">
        <v>0.03480535628238138</v>
      </c>
    </row>
    <row r="134" spans="1:5" s="5" customFormat="1" ht="12.75">
      <c r="A134" s="2" t="s">
        <v>463</v>
      </c>
      <c r="B134" s="14">
        <f t="shared" si="7"/>
        <v>0.12129590446763881</v>
      </c>
      <c r="C134" s="15">
        <f>VLOOKUP($A$6,data!$A$2:$GZ$25,199,FALSE)</f>
        <v>924.5334919989127</v>
      </c>
      <c r="D134" s="14">
        <v>0.0952061214856968</v>
      </c>
      <c r="E134" s="14">
        <v>0.13392795905577728</v>
      </c>
    </row>
    <row r="135" spans="1:5" s="5" customFormat="1" ht="12.75">
      <c r="A135" s="2" t="s">
        <v>464</v>
      </c>
      <c r="B135" s="14">
        <f t="shared" si="7"/>
        <v>0.0032543224709266102</v>
      </c>
      <c r="C135" s="15">
        <f>VLOOKUP($A$6,data!$A$2:$GZ$25,200,FALSE)</f>
        <v>24.804878048780488</v>
      </c>
      <c r="D135" s="14">
        <v>0.004487405348987177</v>
      </c>
      <c r="E135" s="14">
        <v>0.006969843168226134</v>
      </c>
    </row>
    <row r="136" spans="1:5" s="5" customFormat="1" ht="12.75">
      <c r="A136" s="2" t="s">
        <v>465</v>
      </c>
      <c r="B136" s="14">
        <f t="shared" si="7"/>
        <v>0.4705048733166781</v>
      </c>
      <c r="C136" s="15">
        <f>VLOOKUP($A$6,data!$A$2:$GZ$25,201,FALSE)</f>
        <v>3586.250627662617</v>
      </c>
      <c r="D136" s="14">
        <v>0.42567859540888575</v>
      </c>
      <c r="E136" s="14">
        <v>0.4092226349468843</v>
      </c>
    </row>
    <row r="137" spans="1:5" s="5" customFormat="1" ht="12.75">
      <c r="A137" s="2" t="s">
        <v>466</v>
      </c>
      <c r="B137" s="14">
        <f t="shared" si="7"/>
        <v>0.08367251736905057</v>
      </c>
      <c r="C137" s="15">
        <f>VLOOKUP($A$6,data!$A$2:$GZ$25,202,FALSE)</f>
        <v>637.7630391320159</v>
      </c>
      <c r="D137" s="14">
        <v>0.0957446101275753</v>
      </c>
      <c r="E137" s="14">
        <v>0.09005898080393689</v>
      </c>
    </row>
    <row r="138" spans="1:5" s="5" customFormat="1" ht="12.75">
      <c r="A138" s="2" t="s">
        <v>467</v>
      </c>
      <c r="B138" s="14">
        <f t="shared" si="7"/>
        <v>0.0018966004305367454</v>
      </c>
      <c r="C138" s="15">
        <f>VLOOKUP($A$6,data!$A$2:$GZ$25,203,FALSE)</f>
        <v>14.456140350877192</v>
      </c>
      <c r="D138" s="14">
        <v>0.002140658551664994</v>
      </c>
      <c r="E138" s="14">
        <v>0.0022206477262056742</v>
      </c>
    </row>
    <row r="139" spans="1:5" s="5" customFormat="1" ht="12.75">
      <c r="A139" s="2" t="s">
        <v>468</v>
      </c>
      <c r="B139" s="14">
        <f t="shared" si="7"/>
        <v>0.014307652125327947</v>
      </c>
      <c r="C139" s="15">
        <f>VLOOKUP($A$6,data!$A$2:$GZ$25,204,FALSE)</f>
        <v>109.05482456140352</v>
      </c>
      <c r="D139" s="14">
        <v>0.02447131716981007</v>
      </c>
      <c r="E139" s="14">
        <v>0.013008627381257604</v>
      </c>
    </row>
    <row r="140" spans="1:5" s="5" customFormat="1" ht="12.75">
      <c r="A140" s="2" t="s">
        <v>469</v>
      </c>
      <c r="B140" s="14">
        <f t="shared" si="7"/>
        <v>0.09601463212333439</v>
      </c>
      <c r="C140" s="15">
        <f>VLOOKUP($A$6,data!$A$2:$GZ$25,205,FALSE)</f>
        <v>731.8362768271406</v>
      </c>
      <c r="D140" s="14">
        <v>0.1773622034157465</v>
      </c>
      <c r="E140" s="14">
        <v>0.18481505542641352</v>
      </c>
    </row>
    <row r="141" spans="1:5" s="5" customFormat="1" ht="12.75">
      <c r="A141" s="2" t="s">
        <v>470</v>
      </c>
      <c r="B141" s="14">
        <f t="shared" si="7"/>
        <v>0.011692518079219155</v>
      </c>
      <c r="C141" s="15">
        <f>VLOOKUP($A$6,data!$A$2:$GZ$25,206,FALSE)</f>
        <v>89.12192557107315</v>
      </c>
      <c r="D141" s="14">
        <v>0.013548640149979065</v>
      </c>
      <c r="E141" s="14">
        <v>0.00919343448897874</v>
      </c>
    </row>
    <row r="142" s="5" customFormat="1" ht="12.75"/>
    <row r="143" spans="1:5" s="5" customFormat="1" ht="18.75">
      <c r="A143" s="8" t="s">
        <v>266</v>
      </c>
      <c r="B143" s="28"/>
      <c r="C143" s="28"/>
      <c r="D143" s="28"/>
      <c r="E143" s="28"/>
    </row>
    <row r="144" spans="1:5" s="5" customFormat="1" ht="12.75">
      <c r="A144" s="1"/>
      <c r="B144" s="1"/>
      <c r="C144" s="1"/>
      <c r="D144" s="1"/>
      <c r="E144" s="1"/>
    </row>
    <row r="145" spans="1:5" s="5" customFormat="1" ht="15">
      <c r="A145" s="29" t="s">
        <v>0</v>
      </c>
      <c r="B145" s="36" t="str">
        <f>CONCATENATE($A$6," Ward")</f>
        <v>Aird and Loch Ness Ward</v>
      </c>
      <c r="C145" s="37"/>
      <c r="D145" s="30" t="s">
        <v>1</v>
      </c>
      <c r="E145" s="30" t="s">
        <v>2</v>
      </c>
    </row>
    <row r="146" spans="1:5" s="5" customFormat="1" ht="15">
      <c r="A146" s="29" t="s">
        <v>3</v>
      </c>
      <c r="B146" s="29" t="s">
        <v>4</v>
      </c>
      <c r="C146" s="29" t="s">
        <v>5</v>
      </c>
      <c r="D146" s="29" t="s">
        <v>4</v>
      </c>
      <c r="E146" s="29" t="s">
        <v>4</v>
      </c>
    </row>
    <row r="147" spans="1:5" s="5" customFormat="1" ht="12.75">
      <c r="A147" s="1"/>
      <c r="B147" s="1"/>
      <c r="C147" s="1"/>
      <c r="D147" s="1"/>
      <c r="E147" s="1"/>
    </row>
    <row r="148" spans="1:5" s="5" customFormat="1" ht="15">
      <c r="A148" s="6" t="s">
        <v>46</v>
      </c>
      <c r="B148" s="6"/>
      <c r="C148" s="6"/>
      <c r="D148" s="6"/>
      <c r="E148" s="6"/>
    </row>
    <row r="149" spans="1:5" s="5" customFormat="1" ht="12.75">
      <c r="A149" s="3" t="s">
        <v>6</v>
      </c>
      <c r="B149" s="17">
        <f aca="true" t="shared" si="8" ref="B149:B154">C149/C$149</f>
        <v>1</v>
      </c>
      <c r="C149" s="23">
        <f>VLOOKUP($A$6,data!$A$2:$GZ$25,3,FALSE)</f>
        <v>11490.3988235175</v>
      </c>
      <c r="D149" s="17">
        <v>1</v>
      </c>
      <c r="E149" s="17">
        <v>1</v>
      </c>
    </row>
    <row r="150" spans="1:5" s="5" customFormat="1" ht="12.75">
      <c r="A150" s="2" t="s">
        <v>47</v>
      </c>
      <c r="B150" s="14">
        <f t="shared" si="8"/>
        <v>0.5667884273388071</v>
      </c>
      <c r="C150" s="15">
        <f>VLOOKUP($A$6,data!$A$2:$GZ$25,35,FALSE)</f>
        <v>6512.625078677163</v>
      </c>
      <c r="D150" s="14">
        <v>0.5412007</v>
      </c>
      <c r="E150" s="14">
        <v>0.52469679833621</v>
      </c>
    </row>
    <row r="151" spans="1:5" s="5" customFormat="1" ht="12.75">
      <c r="A151" s="2" t="s">
        <v>48</v>
      </c>
      <c r="B151" s="14">
        <f t="shared" si="8"/>
        <v>0.2937389196836073</v>
      </c>
      <c r="C151" s="15">
        <f>VLOOKUP($A$6,data!$A$2:$GZ$25,36,FALSE)</f>
        <v>3375.177337153823</v>
      </c>
      <c r="D151" s="14">
        <v>0.2989937</v>
      </c>
      <c r="E151" s="14">
        <v>0.29742778783786</v>
      </c>
    </row>
    <row r="152" spans="1:5" s="5" customFormat="1" ht="12.75">
      <c r="A152" s="2" t="s">
        <v>49</v>
      </c>
      <c r="B152" s="14">
        <f t="shared" si="8"/>
        <v>0.10574192176253289</v>
      </c>
      <c r="C152" s="15">
        <f>VLOOKUP($A$6,data!$A$2:$GZ$25,37,FALSE)</f>
        <v>1215.0168534166874</v>
      </c>
      <c r="D152" s="14">
        <v>0.1160633</v>
      </c>
      <c r="E152" s="14">
        <v>0.12178128841185</v>
      </c>
    </row>
    <row r="153" spans="1:5" s="5" customFormat="1" ht="12.75">
      <c r="A153" s="2" t="s">
        <v>50</v>
      </c>
      <c r="B153" s="14">
        <f t="shared" si="8"/>
        <v>0.025777891037604552</v>
      </c>
      <c r="C153" s="15">
        <f>VLOOKUP($A$6,data!$A$2:$GZ$25,38,FALSE)</f>
        <v>296.19824885125365</v>
      </c>
      <c r="D153" s="14">
        <v>0.0336231</v>
      </c>
      <c r="E153" s="14">
        <v>0.04270760884487</v>
      </c>
    </row>
    <row r="154" spans="1:5" s="5" customFormat="1" ht="12.75">
      <c r="A154" s="2" t="s">
        <v>51</v>
      </c>
      <c r="B154" s="14">
        <f t="shared" si="8"/>
        <v>0.007952840177448316</v>
      </c>
      <c r="C154" s="15">
        <f>VLOOKUP($A$6,data!$A$2:$GZ$25,39,FALSE)</f>
        <v>91.38130541857484</v>
      </c>
      <c r="D154" s="14">
        <v>0.0101192</v>
      </c>
      <c r="E154" s="14">
        <v>0.01338651656918</v>
      </c>
    </row>
    <row r="155" spans="1:5" s="5" customFormat="1" ht="12.75">
      <c r="A155" s="1"/>
      <c r="B155" s="1"/>
      <c r="C155" s="1"/>
      <c r="D155" s="1"/>
      <c r="E155" s="1"/>
    </row>
    <row r="156" spans="1:5" s="5" customFormat="1" ht="15">
      <c r="A156" s="6" t="s">
        <v>52</v>
      </c>
      <c r="B156" s="6"/>
      <c r="C156" s="6"/>
      <c r="D156" s="6"/>
      <c r="E156" s="6"/>
    </row>
    <row r="157" spans="1:5" s="5" customFormat="1" ht="12.75">
      <c r="A157" s="2" t="s">
        <v>53</v>
      </c>
      <c r="B157" s="14">
        <f>C157/C$149</f>
        <v>0.06649125677140678</v>
      </c>
      <c r="C157" s="15">
        <f>VLOOKUP($A$6,data!$A$2:$GZ$25,40,FALSE)</f>
        <v>764.0110585803725</v>
      </c>
      <c r="D157" s="14">
        <v>0.0808462</v>
      </c>
      <c r="E157" s="14">
        <v>0.09552870669144</v>
      </c>
    </row>
    <row r="158" spans="1:5" s="5" customFormat="1" ht="12.75">
      <c r="A158" s="2" t="s">
        <v>54</v>
      </c>
      <c r="B158" s="14">
        <f>C158/C$149</f>
        <v>0.10332349466453049</v>
      </c>
      <c r="C158" s="15">
        <f>VLOOKUP($A$6,data!$A$2:$GZ$25,41,FALSE)</f>
        <v>1187.2281615350378</v>
      </c>
      <c r="D158" s="14">
        <v>0.104768</v>
      </c>
      <c r="E158" s="14">
        <v>0.10093811556929</v>
      </c>
    </row>
    <row r="159" spans="1:5" s="5" customFormat="1" ht="12.75">
      <c r="A159" s="2" t="s">
        <v>55</v>
      </c>
      <c r="B159" s="14">
        <f>C159/C$149</f>
        <v>0.8301852485640628</v>
      </c>
      <c r="C159" s="15">
        <f>VLOOKUP($A$6,data!$A$2:$GZ$25,42,FALSE)</f>
        <v>9539.159603402091</v>
      </c>
      <c r="D159" s="14">
        <v>0.8143858</v>
      </c>
      <c r="E159" s="14">
        <v>0.80353317773925</v>
      </c>
    </row>
    <row r="160" spans="1:5" s="5" customFormat="1" ht="12.75">
      <c r="A160" s="1"/>
      <c r="B160" s="1"/>
      <c r="C160" s="1"/>
      <c r="D160" s="1"/>
      <c r="E160" s="1"/>
    </row>
    <row r="161" spans="1:5" s="5" customFormat="1" ht="15">
      <c r="A161" s="6" t="s">
        <v>56</v>
      </c>
      <c r="B161" s="6"/>
      <c r="C161" s="6"/>
      <c r="D161" s="6"/>
      <c r="E161" s="6"/>
    </row>
    <row r="162" spans="1:5" s="5" customFormat="1" ht="12.75">
      <c r="A162" s="2" t="s">
        <v>57</v>
      </c>
      <c r="B162" s="14">
        <f>C162/C$149</f>
        <v>0.9099214435909507</v>
      </c>
      <c r="C162" s="15">
        <f>VLOOKUP($A$6,data!$A$2:$GZ$25,43,FALSE)</f>
        <v>10455.360284930806</v>
      </c>
      <c r="D162" s="14">
        <v>0.9095644</v>
      </c>
      <c r="E162" s="14">
        <v>0.90704560162843</v>
      </c>
    </row>
    <row r="163" spans="1:5" s="5" customFormat="1" ht="12.75">
      <c r="A163" s="2" t="s">
        <v>58</v>
      </c>
      <c r="B163" s="14">
        <f>C163/C$149</f>
        <v>0.05600240699378618</v>
      </c>
      <c r="C163" s="15">
        <f>VLOOKUP($A$6,data!$A$2:$GZ$25,44,FALSE)</f>
        <v>643.489991435549</v>
      </c>
      <c r="D163" s="14">
        <v>0.0529096</v>
      </c>
      <c r="E163" s="14">
        <v>0.05161703462418</v>
      </c>
    </row>
    <row r="164" spans="1:5" s="5" customFormat="1" ht="12.75">
      <c r="A164" s="2" t="s">
        <v>59</v>
      </c>
      <c r="B164" s="14">
        <f>C164/C$149</f>
        <v>0.006773623661454038</v>
      </c>
      <c r="C164" s="15">
        <f>VLOOKUP($A$6,data!$A$2:$GZ$25,45,FALSE)</f>
        <v>77.83163735052177</v>
      </c>
      <c r="D164" s="14">
        <v>0.0077585</v>
      </c>
      <c r="E164" s="14">
        <v>0.00874626539283</v>
      </c>
    </row>
    <row r="165" spans="1:5" s="5" customFormat="1" ht="12.75">
      <c r="A165" s="2" t="s">
        <v>60</v>
      </c>
      <c r="B165" s="14">
        <f>C165/C$149</f>
        <v>0.00498695023453068</v>
      </c>
      <c r="C165" s="15">
        <f>VLOOKUP($A$6,data!$A$2:$GZ$25,46,FALSE)</f>
        <v>57.30204710779165</v>
      </c>
      <c r="D165" s="14">
        <v>0.0069228</v>
      </c>
      <c r="E165" s="14">
        <v>0.00764833195887</v>
      </c>
    </row>
    <row r="166" spans="1:5" s="5" customFormat="1" ht="12.75">
      <c r="A166" s="2" t="s">
        <v>61</v>
      </c>
      <c r="B166" s="14">
        <f>C166/C$149</f>
        <v>0.022315575519278312</v>
      </c>
      <c r="C166" s="15">
        <f>VLOOKUP($A$6,data!$A$2:$GZ$25,47,FALSE)</f>
        <v>256.41486269283143</v>
      </c>
      <c r="D166" s="14">
        <v>0.0228448</v>
      </c>
      <c r="E166" s="14">
        <v>0.02494276639568</v>
      </c>
    </row>
    <row r="167" s="5" customFormat="1" ht="12.75"/>
    <row r="168" spans="1:5" s="5" customFormat="1" ht="18.75">
      <c r="A168" s="8" t="s">
        <v>269</v>
      </c>
      <c r="B168" s="28"/>
      <c r="C168" s="28"/>
      <c r="D168" s="28"/>
      <c r="E168" s="28"/>
    </row>
    <row r="169" spans="1:5" s="5" customFormat="1" ht="12.75">
      <c r="A169" s="1"/>
      <c r="B169" s="1"/>
      <c r="C169" s="1"/>
      <c r="D169" s="1"/>
      <c r="E169" s="1"/>
    </row>
    <row r="170" spans="1:5" s="5" customFormat="1" ht="15">
      <c r="A170" s="29" t="s">
        <v>0</v>
      </c>
      <c r="B170" s="36" t="str">
        <f>CONCATENATE($A$6," Ward")</f>
        <v>Aird and Loch Ness Ward</v>
      </c>
      <c r="C170" s="37"/>
      <c r="D170" s="30" t="s">
        <v>1</v>
      </c>
      <c r="E170" s="30" t="s">
        <v>2</v>
      </c>
    </row>
    <row r="171" spans="1:5" s="5" customFormat="1" ht="15">
      <c r="A171" s="29" t="s">
        <v>3</v>
      </c>
      <c r="B171" s="29" t="s">
        <v>4</v>
      </c>
      <c r="C171" s="29" t="s">
        <v>5</v>
      </c>
      <c r="D171" s="29" t="s">
        <v>4</v>
      </c>
      <c r="E171" s="29" t="s">
        <v>4</v>
      </c>
    </row>
    <row r="172" spans="1:5" s="5" customFormat="1" ht="12.75">
      <c r="A172" s="1"/>
      <c r="B172" s="1"/>
      <c r="C172" s="1"/>
      <c r="D172" s="1"/>
      <c r="E172" s="1"/>
    </row>
    <row r="173" spans="1:5" s="5" customFormat="1" ht="15">
      <c r="A173" s="6" t="s">
        <v>62</v>
      </c>
      <c r="B173" s="6"/>
      <c r="C173" s="6"/>
      <c r="D173" s="6"/>
      <c r="E173" s="6"/>
    </row>
    <row r="174" spans="1:5" s="5" customFormat="1" ht="12.75">
      <c r="A174" s="3" t="s">
        <v>6</v>
      </c>
      <c r="B174" s="17">
        <f>C174/C$174</f>
        <v>1</v>
      </c>
      <c r="C174" s="23">
        <f>VLOOKUP($A$6,data!$A$2:$GZ$25,48,FALSE)</f>
        <v>11490.3988235175</v>
      </c>
      <c r="D174" s="17">
        <v>1</v>
      </c>
      <c r="E174" s="17">
        <v>1</v>
      </c>
    </row>
    <row r="175" spans="1:5" s="5" customFormat="1" ht="12.75">
      <c r="A175" s="2" t="s">
        <v>63</v>
      </c>
      <c r="B175" s="14">
        <f aca="true" t="shared" si="9" ref="B175:B181">C175/C$174</f>
        <v>0.7295071474508283</v>
      </c>
      <c r="C175" s="15">
        <f>VLOOKUP($A$6,data!$A$2:$GZ$25,49,FALSE)</f>
        <v>8382.328068816605</v>
      </c>
      <c r="D175" s="14">
        <v>0.7988127</v>
      </c>
      <c r="E175" s="14">
        <v>0.83953534792347</v>
      </c>
    </row>
    <row r="176" spans="1:5" s="5" customFormat="1" ht="12.75">
      <c r="A176" s="2" t="s">
        <v>64</v>
      </c>
      <c r="B176" s="14">
        <f t="shared" si="9"/>
        <v>0.2287311904402642</v>
      </c>
      <c r="C176" s="15">
        <f>VLOOKUP($A$6,data!$A$2:$GZ$25,50,FALSE)</f>
        <v>2628.212601536569</v>
      </c>
      <c r="D176" s="14">
        <v>0.14705</v>
      </c>
      <c r="E176" s="14">
        <v>0.07876813152842</v>
      </c>
    </row>
    <row r="177" spans="1:5" s="5" customFormat="1" ht="12.75">
      <c r="A177" s="2" t="s">
        <v>65</v>
      </c>
      <c r="B177" s="14">
        <f t="shared" si="9"/>
        <v>0.006420013399485682</v>
      </c>
      <c r="C177" s="15">
        <f>VLOOKUP($A$6,data!$A$2:$GZ$25,51,FALSE)</f>
        <v>73.76851441241686</v>
      </c>
      <c r="D177" s="14">
        <v>0.0059837</v>
      </c>
      <c r="E177" s="14">
        <v>0.01021452002803</v>
      </c>
    </row>
    <row r="178" spans="1:5" s="5" customFormat="1" ht="12.75">
      <c r="A178" s="2" t="s">
        <v>66</v>
      </c>
      <c r="B178" s="14">
        <f t="shared" si="9"/>
        <v>0.004160419388658453</v>
      </c>
      <c r="C178" s="15">
        <f>VLOOKUP($A$6,data!$A$2:$GZ$25,52,FALSE)</f>
        <v>47.80487804878049</v>
      </c>
      <c r="D178" s="14">
        <v>0.0147545</v>
      </c>
      <c r="E178" s="14">
        <v>0.01155738288473</v>
      </c>
    </row>
    <row r="179" spans="1:5" s="5" customFormat="1" ht="12.75">
      <c r="A179" s="2" t="s">
        <v>67</v>
      </c>
      <c r="B179" s="14">
        <f t="shared" si="9"/>
        <v>0.01934526069262065</v>
      </c>
      <c r="C179" s="15">
        <f>VLOOKUP($A$6,data!$A$2:$GZ$25,53,FALSE)</f>
        <v>222.2847607031277</v>
      </c>
      <c r="D179" s="14">
        <v>0.0185713</v>
      </c>
      <c r="E179" s="14">
        <v>0.01928408470516</v>
      </c>
    </row>
    <row r="180" spans="1:5" s="5" customFormat="1" ht="12.75">
      <c r="A180" s="2" t="s">
        <v>68</v>
      </c>
      <c r="B180" s="14">
        <f t="shared" si="9"/>
        <v>0.00461254659773205</v>
      </c>
      <c r="C180" s="15">
        <f>VLOOKUP($A$6,data!$A$2:$GZ$25,54,FALSE)</f>
        <v>53</v>
      </c>
      <c r="D180" s="14">
        <v>0.0080385</v>
      </c>
      <c r="E180" s="14">
        <v>0.02656606116663</v>
      </c>
    </row>
    <row r="181" spans="1:5" s="5" customFormat="1" ht="12.75">
      <c r="A181" s="2" t="s">
        <v>69</v>
      </c>
      <c r="B181" s="14">
        <f t="shared" si="9"/>
        <v>0.007223422030410728</v>
      </c>
      <c r="C181" s="15">
        <f>C174-SUM(C175:C180)</f>
        <v>83.00000000000182</v>
      </c>
      <c r="D181" s="14">
        <v>0.0067892</v>
      </c>
      <c r="E181" s="14">
        <v>0.01407447176352</v>
      </c>
    </row>
    <row r="182" spans="1:5" s="5" customFormat="1" ht="12.75">
      <c r="A182" s="1"/>
      <c r="B182" s="1"/>
      <c r="C182" s="1"/>
      <c r="D182" s="1"/>
      <c r="E182" s="1"/>
    </row>
    <row r="183" spans="1:5" s="5" customFormat="1" ht="15">
      <c r="A183" s="6" t="s">
        <v>70</v>
      </c>
      <c r="B183" s="6"/>
      <c r="C183" s="6"/>
      <c r="D183" s="6"/>
      <c r="E183" s="6"/>
    </row>
    <row r="184" spans="1:5" s="5" customFormat="1" ht="12.75">
      <c r="A184" s="3" t="s">
        <v>6</v>
      </c>
      <c r="B184" s="17">
        <f>C184/C$184</f>
        <v>1</v>
      </c>
      <c r="C184" s="23">
        <f>VLOOKUP($A$6,data!$A$2:$GZ$25,55,FALSE)</f>
        <v>11490.3988235175</v>
      </c>
      <c r="D184" s="17">
        <v>1</v>
      </c>
      <c r="E184" s="17">
        <v>1</v>
      </c>
    </row>
    <row r="185" spans="1:5" s="5" customFormat="1" ht="12.75">
      <c r="A185" s="2" t="s">
        <v>71</v>
      </c>
      <c r="B185" s="14">
        <f aca="true" t="shared" si="10" ref="B185:B192">C185/C$184</f>
        <v>0.5509876433799781</v>
      </c>
      <c r="C185" s="15">
        <f>VLOOKUP($A$6,data!$A$2:$GZ$25,56,FALSE)</f>
        <v>6331.06776926598</v>
      </c>
      <c r="D185" s="14">
        <v>0.6151198</v>
      </c>
      <c r="E185" s="14">
        <v>0.62434115023917</v>
      </c>
    </row>
    <row r="186" spans="1:5" s="5" customFormat="1" ht="12.75">
      <c r="A186" s="2" t="s">
        <v>72</v>
      </c>
      <c r="B186" s="14">
        <f t="shared" si="10"/>
        <v>0.14122195198227938</v>
      </c>
      <c r="C186" s="15">
        <f>VLOOKUP($A$6,data!$A$2:$GZ$25,57,FALSE)</f>
        <v>1622.6965509120278</v>
      </c>
      <c r="D186" s="14">
        <v>0.1015974</v>
      </c>
      <c r="E186" s="14">
        <v>0.08370939851036</v>
      </c>
    </row>
    <row r="187" spans="1:5" s="5" customFormat="1" ht="12.75">
      <c r="A187" s="2" t="s">
        <v>73</v>
      </c>
      <c r="B187" s="14">
        <f t="shared" si="10"/>
        <v>0.14254397907112182</v>
      </c>
      <c r="C187" s="15">
        <f>VLOOKUP($A$6,data!$A$2:$GZ$25,58,FALSE)</f>
        <v>1637.8871694183213</v>
      </c>
      <c r="D187" s="14">
        <v>0.151612</v>
      </c>
      <c r="E187" s="14">
        <v>0.18294339448763</v>
      </c>
    </row>
    <row r="188" spans="1:5" s="5" customFormat="1" ht="12.75">
      <c r="A188" s="2" t="s">
        <v>74</v>
      </c>
      <c r="B188" s="14">
        <f t="shared" si="10"/>
        <v>0.029402571783192236</v>
      </c>
      <c r="C188" s="15">
        <f>VLOOKUP($A$6,data!$A$2:$GZ$25,59,FALSE)</f>
        <v>337.8472762259809</v>
      </c>
      <c r="D188" s="14">
        <v>0.023142</v>
      </c>
      <c r="E188" s="14">
        <v>0.01926727767461</v>
      </c>
    </row>
    <row r="189" spans="1:5" s="5" customFormat="1" ht="12.75">
      <c r="A189" s="2" t="s">
        <v>75</v>
      </c>
      <c r="B189" s="14">
        <f t="shared" si="10"/>
        <v>0.06643450596169583</v>
      </c>
      <c r="C189" s="15">
        <f>VLOOKUP($A$6,data!$A$2:$GZ$25,60,FALSE)</f>
        <v>763.3589691432361</v>
      </c>
      <c r="D189" s="14">
        <v>0.0442851</v>
      </c>
      <c r="E189" s="14">
        <v>0.02284811939714</v>
      </c>
    </row>
    <row r="190" spans="1:5" s="5" customFormat="1" ht="12.75">
      <c r="A190" s="2" t="s">
        <v>76</v>
      </c>
      <c r="B190" s="14">
        <f t="shared" si="10"/>
        <v>0.0430120765328654</v>
      </c>
      <c r="C190" s="15">
        <f>VLOOKUP($A$6,data!$A$2:$GZ$25,61,FALSE)</f>
        <v>494.22591359028127</v>
      </c>
      <c r="D190" s="14">
        <v>0.0290137</v>
      </c>
      <c r="E190" s="14">
        <v>0.0197216340286</v>
      </c>
    </row>
    <row r="191" spans="1:5" s="5" customFormat="1" ht="12.75">
      <c r="A191" s="2" t="s">
        <v>77</v>
      </c>
      <c r="B191" s="14">
        <f t="shared" si="10"/>
        <v>0.023004715575132288</v>
      </c>
      <c r="C191" s="15">
        <f>VLOOKUP($A$6,data!$A$2:$GZ$25,62,FALSE)</f>
        <v>264.33335677985474</v>
      </c>
      <c r="D191" s="14">
        <v>0.0327098</v>
      </c>
      <c r="E191" s="14">
        <v>0.04420097960438</v>
      </c>
    </row>
    <row r="192" spans="1:5" s="5" customFormat="1" ht="12.75">
      <c r="A192" s="2" t="s">
        <v>78</v>
      </c>
      <c r="B192" s="14">
        <f t="shared" si="10"/>
        <v>0.003392555713734997</v>
      </c>
      <c r="C192" s="15">
        <f>VLOOKUP($A$6,data!$A$2:$GZ$25,63,FALSE)</f>
        <v>38.981818181818184</v>
      </c>
      <c r="D192" s="14">
        <v>0.0025201</v>
      </c>
      <c r="E192" s="14">
        <v>0.00296804605806</v>
      </c>
    </row>
    <row r="193" spans="1:5" s="5" customFormat="1" ht="12.75">
      <c r="A193" s="1"/>
      <c r="B193" s="1"/>
      <c r="C193" s="1"/>
      <c r="D193" s="1"/>
      <c r="E193" s="1"/>
    </row>
    <row r="194" spans="1:5" s="5" customFormat="1" ht="15">
      <c r="A194" s="6" t="s">
        <v>79</v>
      </c>
      <c r="B194" s="6"/>
      <c r="C194" s="6"/>
      <c r="D194" s="6"/>
      <c r="E194" s="6"/>
    </row>
    <row r="195" spans="1:5" s="5" customFormat="1" ht="12.75">
      <c r="A195" s="3" t="s">
        <v>6</v>
      </c>
      <c r="B195" s="17">
        <f>C195/C$195</f>
        <v>1</v>
      </c>
      <c r="C195" s="23">
        <f>VLOOKUP($A$6,data!$A$2:$GZ$25,64,FALSE)</f>
        <v>11490.3988235175</v>
      </c>
      <c r="D195" s="17">
        <v>1</v>
      </c>
      <c r="E195" s="17">
        <v>1</v>
      </c>
    </row>
    <row r="196" spans="1:5" s="5" customFormat="1" ht="12.75">
      <c r="A196" s="2" t="s">
        <v>80</v>
      </c>
      <c r="B196" s="14">
        <f aca="true" t="shared" si="11" ref="B196:B202">C196/C$195</f>
        <v>0.3417903780033016</v>
      </c>
      <c r="C196" s="15">
        <f>VLOOKUP($A$6,data!$A$2:$GZ$25,65,FALSE)</f>
        <v>3927.307757298738</v>
      </c>
      <c r="D196" s="14">
        <v>0.3685403</v>
      </c>
      <c r="E196" s="14">
        <v>0.32440798179099</v>
      </c>
    </row>
    <row r="197" spans="1:5" s="5" customFormat="1" ht="12.75">
      <c r="A197" s="2" t="s">
        <v>81</v>
      </c>
      <c r="B197" s="14">
        <f t="shared" si="11"/>
        <v>0.07568333478918478</v>
      </c>
      <c r="C197" s="15">
        <f>VLOOKUP($A$6,data!$A$2:$GZ$25,66,FALSE)</f>
        <v>869.6317010215299</v>
      </c>
      <c r="D197" s="14">
        <v>0.0761506</v>
      </c>
      <c r="E197" s="14">
        <v>0.15882700523454</v>
      </c>
    </row>
    <row r="198" spans="1:5" s="5" customFormat="1" ht="12.75">
      <c r="A198" s="2" t="s">
        <v>82</v>
      </c>
      <c r="B198" s="14">
        <f t="shared" si="11"/>
        <v>0.116638089652087</v>
      </c>
      <c r="C198" s="15">
        <f>VLOOKUP($A$6,data!$A$2:$GZ$25,67,FALSE)</f>
        <v>1340.2181681156692</v>
      </c>
      <c r="D198" s="14">
        <v>0.0914781</v>
      </c>
      <c r="E198" s="14">
        <v>0.05500525644601</v>
      </c>
    </row>
    <row r="199" spans="1:5" s="5" customFormat="1" ht="12.75">
      <c r="A199" s="2" t="s">
        <v>83</v>
      </c>
      <c r="B199" s="14">
        <f t="shared" si="11"/>
        <v>0.0012184085352499757</v>
      </c>
      <c r="C199" s="15">
        <f>VLOOKUP($A$6,data!$A$2:$GZ$25,68,FALSE)</f>
        <v>14</v>
      </c>
      <c r="D199" s="14">
        <v>0.0029768</v>
      </c>
      <c r="E199" s="14">
        <v>0.01449124835258</v>
      </c>
    </row>
    <row r="200" spans="1:5" s="5" customFormat="1" ht="12.75">
      <c r="A200" s="2" t="s">
        <v>84</v>
      </c>
      <c r="B200" s="14">
        <f t="shared" si="11"/>
        <v>0.009496684374927703</v>
      </c>
      <c r="C200" s="15">
        <f>C195-(SUM(C196:C199)+C201+C202)</f>
        <v>109.12069096898631</v>
      </c>
      <c r="D200" s="14">
        <v>0.0081678</v>
      </c>
      <c r="E200" s="14">
        <v>0.01120065838237</v>
      </c>
    </row>
    <row r="201" spans="1:5" s="5" customFormat="1" ht="12.75">
      <c r="A201" s="2" t="s">
        <v>85</v>
      </c>
      <c r="B201" s="14">
        <f t="shared" si="11"/>
        <v>0.3621739563574344</v>
      </c>
      <c r="C201" s="15">
        <f>VLOOKUP($A$6,data!$A$2:$GZ$25,69,FALSE)</f>
        <v>4161.523202038143</v>
      </c>
      <c r="D201" s="14">
        <v>0.3732402</v>
      </c>
      <c r="E201" s="14">
        <v>0.36656624623281</v>
      </c>
    </row>
    <row r="202" spans="1:5" s="5" customFormat="1" ht="12.75">
      <c r="A202" s="2" t="s">
        <v>86</v>
      </c>
      <c r="B202" s="14">
        <f t="shared" si="11"/>
        <v>0.0929991482878146</v>
      </c>
      <c r="C202" s="15">
        <f>VLOOKUP($A$6,data!$A$2:$GZ$25,70,FALSE)</f>
        <v>1068.5973040744343</v>
      </c>
      <c r="D202" s="14">
        <v>0.0794462</v>
      </c>
      <c r="E202" s="14">
        <v>0.06950160356067</v>
      </c>
    </row>
    <row r="203" spans="1:5" s="5" customFormat="1" ht="12.75">
      <c r="A203" s="1"/>
      <c r="B203" s="1"/>
      <c r="C203" s="1"/>
      <c r="D203" s="1"/>
      <c r="E203" s="1"/>
    </row>
    <row r="204" spans="1:5" s="5" customFormat="1" ht="15">
      <c r="A204" s="6" t="s">
        <v>87</v>
      </c>
      <c r="B204" s="6"/>
      <c r="C204" s="6"/>
      <c r="D204" s="6"/>
      <c r="E204" s="6"/>
    </row>
    <row r="205" spans="1:5" s="5" customFormat="1" ht="12.75">
      <c r="A205" s="3" t="s">
        <v>6</v>
      </c>
      <c r="B205" s="17">
        <f>C205/C$205</f>
        <v>1</v>
      </c>
      <c r="C205" s="23">
        <f>VLOOKUP($A$6,data!$A$2:$GZ$25,71,FALSE)</f>
        <v>11490.3988235175</v>
      </c>
      <c r="D205" s="17">
        <v>1</v>
      </c>
      <c r="E205" s="17">
        <v>1</v>
      </c>
    </row>
    <row r="206" spans="1:5" s="5" customFormat="1" ht="12.75">
      <c r="A206" s="2" t="s">
        <v>215</v>
      </c>
      <c r="B206" s="14">
        <f aca="true" t="shared" si="12" ref="B206:B212">C206/C$205</f>
        <v>0.6985655183203447</v>
      </c>
      <c r="C206" s="15">
        <f>VLOOKUP($A$6,data!$A$2:$GZ$25,72,FALSE)</f>
        <v>8026.796409857982</v>
      </c>
      <c r="D206" s="14">
        <v>0.7722804</v>
      </c>
      <c r="E206" s="14">
        <v>0.83315358623319</v>
      </c>
    </row>
    <row r="207" spans="1:5" s="5" customFormat="1" ht="12.75">
      <c r="A207" s="2" t="s">
        <v>88</v>
      </c>
      <c r="B207" s="14">
        <f t="shared" si="12"/>
        <v>0.2375433306063314</v>
      </c>
      <c r="C207" s="15">
        <f>VLOOKUP($A$6,data!$A$2:$GZ$25,73,FALSE)</f>
        <v>2729.467606533419</v>
      </c>
      <c r="D207" s="14">
        <v>0.1596419</v>
      </c>
      <c r="E207" s="14">
        <v>0.08677073303013</v>
      </c>
    </row>
    <row r="208" spans="1:5" s="5" customFormat="1" ht="12.75">
      <c r="A208" s="2" t="s">
        <v>89</v>
      </c>
      <c r="B208" s="14">
        <f t="shared" si="12"/>
        <v>0.007791994531885091</v>
      </c>
      <c r="C208" s="15">
        <f>VLOOKUP($A$6,data!$A$2:$GZ$25,74,FALSE)</f>
        <v>89.53312480202725</v>
      </c>
      <c r="D208" s="14">
        <v>0.0054581</v>
      </c>
      <c r="E208" s="14">
        <v>0.00328228087645</v>
      </c>
    </row>
    <row r="209" spans="1:5" s="5" customFormat="1" ht="12.75">
      <c r="A209" s="2" t="s">
        <v>90</v>
      </c>
      <c r="B209" s="14">
        <f t="shared" si="12"/>
        <v>0.006699664595127788</v>
      </c>
      <c r="C209" s="15">
        <f>VLOOKUP($A$6,data!$A$2:$GZ$25,75,FALSE)</f>
        <v>76.98181818181818</v>
      </c>
      <c r="D209" s="14">
        <v>0.0056778</v>
      </c>
      <c r="E209" s="14">
        <v>0.00692204162742</v>
      </c>
    </row>
    <row r="210" spans="1:5" s="5" customFormat="1" ht="12.75">
      <c r="A210" s="2" t="s">
        <v>91</v>
      </c>
      <c r="B210" s="14">
        <f t="shared" si="12"/>
        <v>0.0028533993235721152</v>
      </c>
      <c r="C210" s="15">
        <f>VLOOKUP($A$6,data!$A$2:$GZ$25,76,FALSE)</f>
        <v>32.786696230598665</v>
      </c>
      <c r="D210" s="14">
        <v>0.0029337</v>
      </c>
      <c r="E210" s="14">
        <v>0.00433432545171</v>
      </c>
    </row>
    <row r="211" spans="1:5" s="5" customFormat="1" ht="12.75">
      <c r="A211" s="2" t="s">
        <v>216</v>
      </c>
      <c r="B211" s="14">
        <f t="shared" si="12"/>
        <v>0.019637409099443583</v>
      </c>
      <c r="C211" s="15">
        <f>VLOOKUP($A$6,data!$A$2:$GZ$25,77,FALSE)</f>
        <v>225.6416624131784</v>
      </c>
      <c r="D211" s="14">
        <v>0.029746</v>
      </c>
      <c r="E211" s="14">
        <v>0.02592531673226</v>
      </c>
    </row>
    <row r="212" spans="1:5" s="5" customFormat="1" ht="12.75">
      <c r="A212" s="2" t="s">
        <v>92</v>
      </c>
      <c r="B212" s="14">
        <f t="shared" si="12"/>
        <v>0.026908683523295573</v>
      </c>
      <c r="C212" s="15">
        <f>C205-SUM(C206:C211)</f>
        <v>309.1915054984802</v>
      </c>
      <c r="D212" s="14">
        <v>0.0242621</v>
      </c>
      <c r="E212" s="14">
        <v>0.0396117160488</v>
      </c>
    </row>
    <row r="213" spans="1:5" s="5" customFormat="1" ht="12.75">
      <c r="A213" s="1"/>
      <c r="B213" s="1"/>
      <c r="C213" s="1"/>
      <c r="D213" s="1"/>
      <c r="E213" s="1"/>
    </row>
    <row r="214" spans="1:5" s="5" customFormat="1" ht="15">
      <c r="A214" s="6" t="s">
        <v>93</v>
      </c>
      <c r="B214" s="6"/>
      <c r="C214" s="6"/>
      <c r="D214" s="6"/>
      <c r="E214" s="6"/>
    </row>
    <row r="215" spans="1:5" s="5" customFormat="1" ht="12.75">
      <c r="A215" s="3" t="s">
        <v>94</v>
      </c>
      <c r="B215" s="17">
        <f>C215/C$215</f>
        <v>1</v>
      </c>
      <c r="C215" s="23">
        <f>VLOOKUP($A$6,data!$A$2:$GZ$25,78,FALSE)</f>
        <v>562.6198641422528</v>
      </c>
      <c r="D215" s="17">
        <v>1</v>
      </c>
      <c r="E215" s="17">
        <v>1</v>
      </c>
    </row>
    <row r="216" spans="1:5" s="5" customFormat="1" ht="12.75">
      <c r="A216" s="2" t="s">
        <v>95</v>
      </c>
      <c r="B216" s="14">
        <f>C216/C$215</f>
        <v>0.07652554995758551</v>
      </c>
      <c r="C216" s="15">
        <f>VLOOKUP($A$6,data!$A$2:$GZ$25,79,FALSE)</f>
        <v>43.054794520547944</v>
      </c>
      <c r="D216" s="14">
        <v>0.1320984</v>
      </c>
      <c r="E216" s="14">
        <v>0.22100876290334</v>
      </c>
    </row>
    <row r="217" spans="1:5" s="5" customFormat="1" ht="12.75">
      <c r="A217" s="2" t="s">
        <v>96</v>
      </c>
      <c r="B217" s="14">
        <f>C217/C$215</f>
        <v>0.13752624983826825</v>
      </c>
      <c r="C217" s="15">
        <f>VLOOKUP($A$6,data!$A$2:$GZ$25,80,FALSE)</f>
        <v>77.375</v>
      </c>
      <c r="D217" s="14">
        <v>0.2355755</v>
      </c>
      <c r="E217" s="14">
        <v>0.21726909370565</v>
      </c>
    </row>
    <row r="218" spans="1:5" s="5" customFormat="1" ht="12.75">
      <c r="A218" s="2" t="s">
        <v>97</v>
      </c>
      <c r="B218" s="14">
        <f>C218/C$215</f>
        <v>0.20282964014470758</v>
      </c>
      <c r="C218" s="15">
        <f>VLOOKUP($A$6,data!$A$2:$GZ$25,81,FALSE)</f>
        <v>114.11598458223742</v>
      </c>
      <c r="D218" s="14">
        <v>0.2039174</v>
      </c>
      <c r="E218" s="14">
        <v>0.18776876333661</v>
      </c>
    </row>
    <row r="219" spans="1:5" s="5" customFormat="1" ht="12.75">
      <c r="A219" s="2" t="s">
        <v>98</v>
      </c>
      <c r="B219" s="14">
        <f>C219/C$215</f>
        <v>0.5831185600594385</v>
      </c>
      <c r="C219" s="15">
        <f>VLOOKUP($A$6,data!$A$2:$GZ$25,82,FALSE)</f>
        <v>328.0740850394674</v>
      </c>
      <c r="D219" s="14">
        <v>0.4284087</v>
      </c>
      <c r="E219" s="14">
        <v>0.37395338005437</v>
      </c>
    </row>
    <row r="220" spans="1:5" s="5" customFormat="1" ht="12.75">
      <c r="A220" s="1"/>
      <c r="B220" s="1"/>
      <c r="C220" s="1"/>
      <c r="D220" s="1"/>
      <c r="E220" s="1"/>
    </row>
    <row r="221" spans="1:5" s="5" customFormat="1" ht="15">
      <c r="A221" s="6" t="s">
        <v>99</v>
      </c>
      <c r="B221" s="6"/>
      <c r="C221" s="6"/>
      <c r="D221" s="6"/>
      <c r="E221" s="6"/>
    </row>
    <row r="222" spans="1:5" s="5" customFormat="1" ht="12.75">
      <c r="A222" s="3" t="s">
        <v>100</v>
      </c>
      <c r="B222" s="17">
        <f>C222/C$222</f>
        <v>1</v>
      </c>
      <c r="C222" s="23">
        <f>VLOOKUP($A$6,data!$A$2:$GZ$25,83,FALSE)</f>
        <v>11190.233856735054</v>
      </c>
      <c r="D222" s="17">
        <v>1</v>
      </c>
      <c r="E222" s="17">
        <v>1</v>
      </c>
    </row>
    <row r="223" spans="1:5" s="5" customFormat="1" ht="12.75">
      <c r="A223" s="2" t="s">
        <v>101</v>
      </c>
      <c r="B223" s="14">
        <f aca="true" t="shared" si="13" ref="B223:B230">C223/C$222</f>
        <v>0.9935172147406033</v>
      </c>
      <c r="C223" s="15">
        <f>VLOOKUP($A$6,data!$A$2:$GZ$25,84,FALSE)</f>
        <v>11117.68997363941</v>
      </c>
      <c r="D223" s="14">
        <v>0.9882505364950182</v>
      </c>
      <c r="E223" s="14">
        <v>0.9856317319507181</v>
      </c>
    </row>
    <row r="224" spans="1:5" s="5" customFormat="1" ht="12.75">
      <c r="A224" s="2" t="s">
        <v>102</v>
      </c>
      <c r="B224" s="14">
        <f t="shared" si="13"/>
        <v>0.0056736158857738405</v>
      </c>
      <c r="C224" s="15">
        <f>VLOOKUP($A$6,data!$A$2:$GZ$25,85,FALSE)</f>
        <v>63.489088575096275</v>
      </c>
      <c r="D224" s="14">
        <v>0.010173370257250477</v>
      </c>
      <c r="E224" s="14">
        <v>0.012138587943510862</v>
      </c>
    </row>
    <row r="225" spans="1:5" s="5" customFormat="1" ht="12.75">
      <c r="A225" s="2" t="s">
        <v>103</v>
      </c>
      <c r="B225" s="14">
        <f t="shared" si="13"/>
        <v>0.0008091693736228887</v>
      </c>
      <c r="C225" s="15">
        <f>VLOOKUP($A$6,data!$A$2:$GZ$25,86,FALSE)</f>
        <v>9.054794520547945</v>
      </c>
      <c r="D225" s="14">
        <v>0.0015760932477315837</v>
      </c>
      <c r="E225" s="14">
        <v>0.002229680105771085</v>
      </c>
    </row>
    <row r="226" spans="1:5" s="5" customFormat="1" ht="12.75">
      <c r="A226" s="2" t="s">
        <v>104</v>
      </c>
      <c r="B226" s="14">
        <f t="shared" si="13"/>
        <v>0.040259312433729856</v>
      </c>
      <c r="C226" s="15">
        <f>VLOOKUP($A$6,data!$A$2:$GZ$25,87,FALSE)</f>
        <v>450.51112104479836</v>
      </c>
      <c r="D226" s="14">
        <v>0.053600527145312264</v>
      </c>
      <c r="E226" s="14">
        <v>0.011209945326727656</v>
      </c>
    </row>
    <row r="227" spans="1:5" s="5" customFormat="1" ht="12.75">
      <c r="A227" s="2" t="s">
        <v>190</v>
      </c>
      <c r="B227" s="14">
        <f t="shared" si="13"/>
        <v>0.020093400287426285</v>
      </c>
      <c r="C227" s="15">
        <f>C222-(C228+C226)</f>
        <v>224.84984819328747</v>
      </c>
      <c r="D227" s="14">
        <v>0.02028886138393441</v>
      </c>
      <c r="E227" s="14">
        <v>0.0057990830020497345</v>
      </c>
    </row>
    <row r="228" spans="1:5" s="5" customFormat="1" ht="12.75">
      <c r="A228" s="2" t="s">
        <v>191</v>
      </c>
      <c r="B228" s="14">
        <f t="shared" si="13"/>
        <v>0.939647287278844</v>
      </c>
      <c r="C228" s="15">
        <f>VLOOKUP($A$6,data!$A$2:$GZ$25,88,FALSE)</f>
        <v>10514.87288749697</v>
      </c>
      <c r="D228" s="14">
        <v>0.9261106114707534</v>
      </c>
      <c r="E228" s="14">
        <v>0.9829909716712226</v>
      </c>
    </row>
    <row r="229" spans="1:5" s="5" customFormat="1" ht="12.75">
      <c r="A229" s="2" t="s">
        <v>105</v>
      </c>
      <c r="B229" s="14">
        <f t="shared" si="13"/>
        <v>0.18449069944971636</v>
      </c>
      <c r="C229" s="15">
        <f>VLOOKUP($A$6,data!$A$2:$GZ$25,89,FALSE)</f>
        <v>2064.494071234947</v>
      </c>
      <c r="D229" s="14">
        <v>0.2157155196210253</v>
      </c>
      <c r="E229" s="14">
        <v>0.3004218456288442</v>
      </c>
    </row>
    <row r="230" spans="1:5" s="5" customFormat="1" ht="12.75">
      <c r="A230" s="2" t="s">
        <v>106</v>
      </c>
      <c r="B230" s="14">
        <f t="shared" si="13"/>
        <v>0.05277032381253253</v>
      </c>
      <c r="C230" s="15">
        <f>VLOOKUP($A$6,data!$A$2:$GZ$25,90,FALSE)</f>
        <v>590.5122641578736</v>
      </c>
      <c r="D230" s="14">
        <v>0.07075501099703484</v>
      </c>
      <c r="E230" s="14">
        <v>0.07379045422600773</v>
      </c>
    </row>
    <row r="231" s="5" customFormat="1" ht="12.75"/>
    <row r="232" spans="1:5" s="5" customFormat="1" ht="18.75">
      <c r="A232" s="8" t="s">
        <v>267</v>
      </c>
      <c r="B232" s="28"/>
      <c r="C232" s="28"/>
      <c r="D232" s="28"/>
      <c r="E232" s="28"/>
    </row>
    <row r="233" spans="1:5" s="5" customFormat="1" ht="12.75">
      <c r="A233" s="1"/>
      <c r="B233" s="1"/>
      <c r="C233" s="1"/>
      <c r="D233" s="1"/>
      <c r="E233" s="1"/>
    </row>
    <row r="234" spans="1:5" s="5" customFormat="1" ht="15">
      <c r="A234" s="29" t="s">
        <v>0</v>
      </c>
      <c r="B234" s="36" t="str">
        <f>CONCATENATE($A$6," Ward")</f>
        <v>Aird and Loch Ness Ward</v>
      </c>
      <c r="C234" s="37"/>
      <c r="D234" s="30" t="s">
        <v>1</v>
      </c>
      <c r="E234" s="30" t="s">
        <v>2</v>
      </c>
    </row>
    <row r="235" spans="1:5" s="5" customFormat="1" ht="15">
      <c r="A235" s="29" t="s">
        <v>3</v>
      </c>
      <c r="B235" s="29" t="s">
        <v>4</v>
      </c>
      <c r="C235" s="29" t="s">
        <v>5</v>
      </c>
      <c r="D235" s="29" t="s">
        <v>4</v>
      </c>
      <c r="E235" s="29" t="s">
        <v>4</v>
      </c>
    </row>
    <row r="236" s="5" customFormat="1" ht="12.75"/>
    <row r="237" spans="1:5" s="5" customFormat="1" ht="15">
      <c r="A237" s="6" t="s">
        <v>147</v>
      </c>
      <c r="B237" s="6"/>
      <c r="C237" s="6"/>
      <c r="D237" s="6"/>
      <c r="E237" s="6"/>
    </row>
    <row r="238" spans="1:5" s="5" customFormat="1" ht="12.75">
      <c r="A238" s="3" t="s">
        <v>471</v>
      </c>
      <c r="B238" s="17">
        <f>C238/C$238</f>
        <v>1</v>
      </c>
      <c r="C238" s="23">
        <f>VLOOKUP($A$6,data!$A$2:$GZ$25,91,FALSE)</f>
        <v>8535.460954191967</v>
      </c>
      <c r="D238" s="17">
        <v>1</v>
      </c>
      <c r="E238" s="17">
        <v>1</v>
      </c>
    </row>
    <row r="239" spans="1:5" s="5" customFormat="1" ht="12.75">
      <c r="A239" s="2" t="s">
        <v>274</v>
      </c>
      <c r="B239" s="14">
        <f aca="true" t="shared" si="14" ref="B239:B245">C239/C$238</f>
        <v>0.7160145495799594</v>
      </c>
      <c r="C239" s="21">
        <f>SUM(C240:C245)</f>
        <v>6111.5142305730915</v>
      </c>
      <c r="D239" s="14">
        <v>0.714893592217164</v>
      </c>
      <c r="E239" s="14">
        <v>0.6898069023530864</v>
      </c>
    </row>
    <row r="240" spans="1:5" s="5" customFormat="1" ht="12.75">
      <c r="A240" s="2" t="s">
        <v>275</v>
      </c>
      <c r="B240" s="14">
        <f t="shared" si="14"/>
        <v>0.1427145414364209</v>
      </c>
      <c r="C240" s="15">
        <f>VLOOKUP($A$6,data!$A$2:$GZ$25,92,FALSE)</f>
        <v>1218.1343960259821</v>
      </c>
      <c r="D240" s="14">
        <v>0.15155312811485397</v>
      </c>
      <c r="E240" s="14">
        <v>0.13343709781817542</v>
      </c>
    </row>
    <row r="241" spans="1:5" s="5" customFormat="1" ht="12.75">
      <c r="A241" s="2" t="s">
        <v>276</v>
      </c>
      <c r="B241" s="14">
        <f t="shared" si="14"/>
        <v>0.3686990191102844</v>
      </c>
      <c r="C241" s="15">
        <f>VLOOKUP($A$6,data!$A$2:$GZ$25,93,FALSE)</f>
        <v>3147.0160814647106</v>
      </c>
      <c r="D241" s="14">
        <v>0.3946560035440116</v>
      </c>
      <c r="E241" s="14">
        <v>0.3962735453453317</v>
      </c>
    </row>
    <row r="242" spans="1:5" s="5" customFormat="1" ht="12.75">
      <c r="A242" s="2" t="s">
        <v>277</v>
      </c>
      <c r="B242" s="14">
        <f t="shared" si="14"/>
        <v>0.15499581596467696</v>
      </c>
      <c r="C242" s="15">
        <f>VLOOKUP($A$6,data!$A$2:$GZ$25,94,FALSE)</f>
        <v>1322.960735229624</v>
      </c>
      <c r="D242" s="14">
        <v>0.11031319036821581</v>
      </c>
      <c r="E242" s="14">
        <v>0.07497563297595031</v>
      </c>
    </row>
    <row r="243" spans="1:5" s="5" customFormat="1" ht="12.75">
      <c r="A243" s="2" t="s">
        <v>278</v>
      </c>
      <c r="B243" s="14">
        <f t="shared" si="14"/>
        <v>0.03048882053743008</v>
      </c>
      <c r="C243" s="15">
        <f>VLOOKUP($A$6,data!$A$2:$GZ$25,95,FALSE)</f>
        <v>260.2361372366006</v>
      </c>
      <c r="D243" s="14">
        <v>0.03973606439842152</v>
      </c>
      <c r="E243" s="14">
        <v>0.04770496633950631</v>
      </c>
    </row>
    <row r="244" spans="1:5" s="5" customFormat="1" ht="12.75">
      <c r="A244" s="2" t="s">
        <v>279</v>
      </c>
      <c r="B244" s="14">
        <f t="shared" si="14"/>
        <v>0.016707413679558303</v>
      </c>
      <c r="C244" s="15">
        <f>VLOOKUP($A$6,data!$A$2:$GZ$25,96,FALSE)</f>
        <v>142.60547710740263</v>
      </c>
      <c r="D244" s="14">
        <v>0.015382642503657678</v>
      </c>
      <c r="E244" s="14">
        <v>0.02920768763867796</v>
      </c>
    </row>
    <row r="245" spans="1:5" s="5" customFormat="1" ht="12.75">
      <c r="A245" s="2" t="s">
        <v>280</v>
      </c>
      <c r="B245" s="14">
        <f t="shared" si="14"/>
        <v>0.0024089388515887637</v>
      </c>
      <c r="C245" s="15">
        <f>VLOOKUP($A$6,data!$A$2:$GZ$25,97,FALSE)</f>
        <v>20.56140350877193</v>
      </c>
      <c r="D245" s="14">
        <v>0.003252563288003404</v>
      </c>
      <c r="E245" s="14">
        <v>0.008207972235444639</v>
      </c>
    </row>
    <row r="246" spans="1:5" s="5" customFormat="1" ht="12.75">
      <c r="A246" s="1"/>
      <c r="B246" s="1"/>
      <c r="C246" s="1"/>
      <c r="D246" s="1"/>
      <c r="E246" s="1"/>
    </row>
    <row r="247" spans="1:5" s="5" customFormat="1" ht="15">
      <c r="A247" s="7" t="s">
        <v>196</v>
      </c>
      <c r="B247" s="7"/>
      <c r="C247" s="7"/>
      <c r="D247" s="7"/>
      <c r="E247" s="7"/>
    </row>
    <row r="248" spans="1:5" s="5" customFormat="1" ht="12.75">
      <c r="A248" s="3" t="s">
        <v>471</v>
      </c>
      <c r="B248" s="17">
        <f>C248/C$248</f>
        <v>1</v>
      </c>
      <c r="C248" s="23">
        <f>VLOOKUP($A$6,data!$A$2:$GZ$25,98,FALSE)</f>
        <v>8535.460954191967</v>
      </c>
      <c r="D248" s="17">
        <v>1</v>
      </c>
      <c r="E248" s="17">
        <v>1</v>
      </c>
    </row>
    <row r="249" spans="1:5" s="5" customFormat="1" ht="12.75">
      <c r="A249" s="2" t="s">
        <v>281</v>
      </c>
      <c r="B249" s="14">
        <f aca="true" t="shared" si="15" ref="B249:B254">C249/C$248</f>
        <v>0.2839854504200407</v>
      </c>
      <c r="C249" s="15">
        <f>VLOOKUP($A$6,data!$A$2:$GZ$25,99,FALSE)</f>
        <v>2423.946723618876</v>
      </c>
      <c r="D249" s="14">
        <v>0.28510640778283597</v>
      </c>
      <c r="E249" s="14">
        <v>0.31019309764691366</v>
      </c>
    </row>
    <row r="250" spans="1:5" s="5" customFormat="1" ht="12.75">
      <c r="A250" s="2" t="s">
        <v>282</v>
      </c>
      <c r="B250" s="14">
        <f t="shared" si="15"/>
        <v>0.17200993304713927</v>
      </c>
      <c r="C250" s="15">
        <f>VLOOKUP($A$6,data!$A$2:$GZ$25,100,FALSE)</f>
        <v>1468.1840672570318</v>
      </c>
      <c r="D250" s="14">
        <v>0.16027326194792402</v>
      </c>
      <c r="E250" s="14">
        <v>0.1490146151773189</v>
      </c>
    </row>
    <row r="251" spans="1:5" s="5" customFormat="1" ht="12.75">
      <c r="A251" s="2" t="s">
        <v>283</v>
      </c>
      <c r="B251" s="14">
        <f t="shared" si="15"/>
        <v>0.031531317340598025</v>
      </c>
      <c r="C251" s="15">
        <f>VLOOKUP($A$6,data!$A$2:$GZ$25,101,FALSE)</f>
        <v>269.13432799491056</v>
      </c>
      <c r="D251" s="14">
        <v>0.03187278863584698</v>
      </c>
      <c r="E251" s="14">
        <v>0.055008273454677334</v>
      </c>
    </row>
    <row r="252" spans="1:5" s="5" customFormat="1" ht="12.75">
      <c r="A252" s="2" t="s">
        <v>285</v>
      </c>
      <c r="B252" s="14">
        <f t="shared" si="15"/>
        <v>0.03919748758010177</v>
      </c>
      <c r="C252" s="15">
        <f>VLOOKUP($A$6,data!$A$2:$GZ$25,102,FALSE)</f>
        <v>334.56862474238324</v>
      </c>
      <c r="D252" s="14">
        <v>0.03752688610782422</v>
      </c>
      <c r="E252" s="14">
        <v>0.03564813765416708</v>
      </c>
    </row>
    <row r="253" spans="1:5" s="5" customFormat="1" ht="12.75">
      <c r="A253" s="2" t="s">
        <v>284</v>
      </c>
      <c r="B253" s="14">
        <f t="shared" si="15"/>
        <v>0.02754921838570032</v>
      </c>
      <c r="C253" s="15">
        <f>VLOOKUP($A$6,data!$A$2:$GZ$25,103,FALSE)</f>
        <v>235.14527784965253</v>
      </c>
      <c r="D253" s="14">
        <v>0.03852946833996864</v>
      </c>
      <c r="E253" s="14">
        <v>0.05137223494092728</v>
      </c>
    </row>
    <row r="254" spans="1:5" s="5" customFormat="1" ht="12.75">
      <c r="A254" s="2" t="s">
        <v>286</v>
      </c>
      <c r="B254" s="14">
        <f t="shared" si="15"/>
        <v>0.013697494066501305</v>
      </c>
      <c r="C254" s="15">
        <f>VLOOKUP($A$6,data!$A$2:$GZ$25,104,FALSE)</f>
        <v>116.91442577489804</v>
      </c>
      <c r="D254" s="14">
        <v>0.01690400275127217</v>
      </c>
      <c r="E254" s="14">
        <v>0.019149836419823048</v>
      </c>
    </row>
    <row r="255" s="5" customFormat="1" ht="12.75"/>
    <row r="256" spans="1:5" s="5" customFormat="1" ht="15">
      <c r="A256" s="6" t="s">
        <v>155</v>
      </c>
      <c r="B256" s="6"/>
      <c r="C256" s="6"/>
      <c r="D256" s="6"/>
      <c r="E256" s="6"/>
    </row>
    <row r="257" spans="1:5" s="5" customFormat="1" ht="12.75">
      <c r="A257" s="3" t="s">
        <v>472</v>
      </c>
      <c r="B257" s="17">
        <f>C257/C$257</f>
        <v>1</v>
      </c>
      <c r="C257" s="24">
        <f>VLOOKUP($A$6,data!$A$2:$GZ$25,105,FALSE)</f>
        <v>260.2361372366006</v>
      </c>
      <c r="D257" s="17">
        <v>1</v>
      </c>
      <c r="E257" s="17">
        <v>1</v>
      </c>
    </row>
    <row r="258" spans="1:5" s="5" customFormat="1" ht="12.75">
      <c r="A258" s="2" t="s">
        <v>287</v>
      </c>
      <c r="B258" s="14">
        <f>C258/C$257</f>
        <v>0.22813288608974086</v>
      </c>
      <c r="C258" s="22">
        <f>VLOOKUP($A$6,data!$A$2:$GZ$25,106,FALSE)</f>
        <v>59.368421052631575</v>
      </c>
      <c r="D258" s="14">
        <v>0.28531612146105323</v>
      </c>
      <c r="E258" s="14">
        <v>0.30210016155088854</v>
      </c>
    </row>
    <row r="259" spans="1:5" s="5" customFormat="1" ht="12.75">
      <c r="A259" s="2" t="s">
        <v>322</v>
      </c>
      <c r="B259" s="14">
        <f>C259/C$257</f>
        <v>0.4629775942006705</v>
      </c>
      <c r="C259" s="22">
        <f>C257-(C258+C260)</f>
        <v>120.48350074187687</v>
      </c>
      <c r="D259" s="14">
        <v>0.48584421299691954</v>
      </c>
      <c r="E259" s="14">
        <v>0.5137529432882469</v>
      </c>
    </row>
    <row r="260" spans="1:5" s="5" customFormat="1" ht="12.75">
      <c r="A260" s="2" t="s">
        <v>321</v>
      </c>
      <c r="B260" s="14">
        <f>C260/C$257</f>
        <v>0.30888951970958867</v>
      </c>
      <c r="C260" s="22">
        <f>VLOOKUP($A$6,data!$A$2:$GZ$25,107,FALSE)</f>
        <v>80.38421544209216</v>
      </c>
      <c r="D260" s="14">
        <v>0.22883966554202725</v>
      </c>
      <c r="E260" s="14">
        <v>0.18414689516086455</v>
      </c>
    </row>
    <row r="261" spans="1:5" s="5" customFormat="1" ht="12.75">
      <c r="A261" s="2" t="s">
        <v>288</v>
      </c>
      <c r="B261" s="14">
        <f>C261/C$257</f>
        <v>0.06498820986717205</v>
      </c>
      <c r="C261" s="22">
        <f>VLOOKUP($A$6,data!$A$2:$GZ$25,108,FALSE)</f>
        <v>16.912280701754387</v>
      </c>
      <c r="D261" s="14">
        <v>0.0925627108698841</v>
      </c>
      <c r="E261" s="14">
        <v>0.1394617082158658</v>
      </c>
    </row>
    <row r="262" s="5" customFormat="1" ht="12.75"/>
    <row r="263" spans="1:5" s="5" customFormat="1" ht="15">
      <c r="A263" s="6" t="s">
        <v>148</v>
      </c>
      <c r="B263" s="6"/>
      <c r="C263" s="6"/>
      <c r="D263" s="6"/>
      <c r="E263" s="6"/>
    </row>
    <row r="264" spans="1:5" s="5" customFormat="1" ht="12.75">
      <c r="A264" s="3" t="s">
        <v>473</v>
      </c>
      <c r="B264" s="17">
        <f aca="true" t="shared" si="16" ref="B264:B269">C264/C$264</f>
        <v>1</v>
      </c>
      <c r="C264" s="23">
        <f>VLOOKUP($A$6,data!$A$2:$GZ$25,109,FALSE)</f>
        <v>5830.716689827719</v>
      </c>
      <c r="D264" s="17">
        <v>1</v>
      </c>
      <c r="E264" s="17">
        <v>1</v>
      </c>
    </row>
    <row r="265" spans="1:5" s="5" customFormat="1" ht="12.75">
      <c r="A265" s="2" t="s">
        <v>289</v>
      </c>
      <c r="B265" s="14">
        <f t="shared" si="16"/>
        <v>0.08171442813391011</v>
      </c>
      <c r="C265" s="15">
        <f>VLOOKUP($A$6,data!$A$2:$GZ$25,110,FALSE)</f>
        <v>476.4536799201174</v>
      </c>
      <c r="D265" s="14">
        <v>0.07225644139845581</v>
      </c>
      <c r="E265" s="14">
        <v>0.06987776605698688</v>
      </c>
    </row>
    <row r="266" spans="1:5" s="5" customFormat="1" ht="12.75">
      <c r="A266" s="2" t="s">
        <v>290</v>
      </c>
      <c r="B266" s="14">
        <f t="shared" si="16"/>
        <v>0.20742978808762186</v>
      </c>
      <c r="C266" s="15">
        <f>VLOOKUP($A$6,data!$A$2:$GZ$25,111,FALSE)</f>
        <v>1209.4643273699237</v>
      </c>
      <c r="D266" s="14">
        <v>0.21393250628958102</v>
      </c>
      <c r="E266" s="14">
        <v>0.2104744139107909</v>
      </c>
    </row>
    <row r="267" spans="1:5" s="5" customFormat="1" ht="12.75">
      <c r="A267" s="2" t="s">
        <v>291</v>
      </c>
      <c r="B267" s="14">
        <f t="shared" si="16"/>
        <v>0.17198355125868797</v>
      </c>
      <c r="C267" s="15">
        <f>VLOOKUP($A$6,data!$A$2:$GZ$25,112,FALSE)</f>
        <v>1002.787362699873</v>
      </c>
      <c r="D267" s="14">
        <v>0.17760909169775316</v>
      </c>
      <c r="E267" s="14">
        <v>0.21172476404458668</v>
      </c>
    </row>
    <row r="268" spans="1:5" s="5" customFormat="1" ht="12.75">
      <c r="A268" s="2" t="s">
        <v>292</v>
      </c>
      <c r="B268" s="14">
        <f t="shared" si="16"/>
        <v>0.3576605911751618</v>
      </c>
      <c r="C268" s="15">
        <f>VLOOKUP($A$6,data!$A$2:$GZ$25,113,FALSE)</f>
        <v>2085.4175782586644</v>
      </c>
      <c r="D268" s="14">
        <v>0.3786674763598508</v>
      </c>
      <c r="E268" s="14">
        <v>0.39079262345072</v>
      </c>
    </row>
    <row r="269" spans="1:5" s="5" customFormat="1" ht="12.75">
      <c r="A269" s="2" t="s">
        <v>293</v>
      </c>
      <c r="B269" s="14">
        <f t="shared" si="16"/>
        <v>0.18121164134461817</v>
      </c>
      <c r="C269" s="15">
        <f>VLOOKUP($A$6,data!$A$2:$GZ$25,114,FALSE)</f>
        <v>1056.59374157914</v>
      </c>
      <c r="D269" s="14">
        <v>0.15753448425435934</v>
      </c>
      <c r="E269" s="14">
        <v>0.11713043253691552</v>
      </c>
    </row>
    <row r="270" s="5" customFormat="1" ht="12.75"/>
    <row r="271" spans="1:5" s="5" customFormat="1" ht="15">
      <c r="A271" s="6" t="s">
        <v>149</v>
      </c>
      <c r="B271" s="6"/>
      <c r="C271" s="6"/>
      <c r="D271" s="6"/>
      <c r="E271" s="6"/>
    </row>
    <row r="272" spans="1:5" s="5" customFormat="1" ht="12.75">
      <c r="A272" s="3" t="s">
        <v>473</v>
      </c>
      <c r="B272" s="17">
        <f>C272/C$272</f>
        <v>1</v>
      </c>
      <c r="C272" s="23">
        <f>VLOOKUP($A$6,data!$A$2:$GZ$25,115,FALSE)</f>
        <v>5830.716689827719</v>
      </c>
      <c r="D272" s="17">
        <v>1</v>
      </c>
      <c r="E272" s="17">
        <v>1</v>
      </c>
    </row>
    <row r="273" spans="1:5" s="5" customFormat="1" ht="12.75">
      <c r="A273" s="2" t="s">
        <v>294</v>
      </c>
      <c r="B273" s="14">
        <f aca="true" t="shared" si="17" ref="B273:B290">C273/C$272</f>
        <v>0.04771030358654764</v>
      </c>
      <c r="C273" s="15">
        <f>VLOOKUP($A$6,data!$A$2:$GZ$25,116,FALSE)</f>
        <v>278.1852633988306</v>
      </c>
      <c r="D273" s="14">
        <v>0.043185564327231724</v>
      </c>
      <c r="E273" s="14">
        <v>0.01996984379562914</v>
      </c>
    </row>
    <row r="274" spans="1:5" s="5" customFormat="1" ht="12.75">
      <c r="A274" s="2" t="s">
        <v>295</v>
      </c>
      <c r="B274" s="14">
        <f t="shared" si="17"/>
        <v>0.0096778022412977</v>
      </c>
      <c r="C274" s="15">
        <f>VLOOKUP($A$6,data!$A$2:$GZ$25,117,FALSE)</f>
        <v>56.42852304918661</v>
      </c>
      <c r="D274" s="14">
        <v>0.012266851739394466</v>
      </c>
      <c r="E274" s="14">
        <v>0.013500761851408184</v>
      </c>
    </row>
    <row r="275" spans="1:5" s="5" customFormat="1" ht="12.75">
      <c r="A275" s="2" t="s">
        <v>296</v>
      </c>
      <c r="B275" s="14">
        <f t="shared" si="17"/>
        <v>0.0468259537008791</v>
      </c>
      <c r="C275" s="15">
        <f>VLOOKUP($A$6,data!$A$2:$GZ$25,118,FALSE)</f>
        <v>273.02886976081584</v>
      </c>
      <c r="D275" s="14">
        <v>0.057282901015008256</v>
      </c>
      <c r="E275" s="14">
        <v>0.07709340278398583</v>
      </c>
    </row>
    <row r="276" spans="1:5" s="5" customFormat="1" ht="12.75">
      <c r="A276" s="2" t="s">
        <v>297</v>
      </c>
      <c r="B276" s="14">
        <f t="shared" si="17"/>
        <v>0.011369652345867775</v>
      </c>
      <c r="C276" s="15">
        <f>VLOOKUP($A$6,data!$A$2:$GZ$25,119,FALSE)</f>
        <v>66.29322169059012</v>
      </c>
      <c r="D276" s="14">
        <v>0.007747028715190424</v>
      </c>
      <c r="E276" s="14">
        <v>0.008019802176888587</v>
      </c>
    </row>
    <row r="277" spans="1:5" s="5" customFormat="1" ht="12.75">
      <c r="A277" s="2" t="s">
        <v>298</v>
      </c>
      <c r="B277" s="14">
        <f t="shared" si="17"/>
        <v>0.005283206111269777</v>
      </c>
      <c r="C277" s="15">
        <f>VLOOKUP($A$6,data!$A$2:$GZ$25,120,FALSE)</f>
        <v>30.804878048780488</v>
      </c>
      <c r="D277" s="14">
        <v>0.013143055435065502</v>
      </c>
      <c r="E277" s="14">
        <v>0.007630830845148487</v>
      </c>
    </row>
    <row r="278" spans="1:5" s="5" customFormat="1" ht="12.75">
      <c r="A278" s="2" t="s">
        <v>299</v>
      </c>
      <c r="B278" s="14">
        <f t="shared" si="17"/>
        <v>0.1127916619806475</v>
      </c>
      <c r="C278" s="15">
        <f>VLOOKUP($A$6,data!$A$2:$GZ$25,121,FALSE)</f>
        <v>657.6562259839679</v>
      </c>
      <c r="D278" s="14">
        <v>0.09783985425522687</v>
      </c>
      <c r="E278" s="14">
        <v>0.0795992681458702</v>
      </c>
    </row>
    <row r="279" spans="1:5" s="5" customFormat="1" ht="12.75">
      <c r="A279" s="2" t="s">
        <v>300</v>
      </c>
      <c r="B279" s="14">
        <f t="shared" si="17"/>
        <v>0.1397326422417219</v>
      </c>
      <c r="C279" s="15">
        <f>VLOOKUP($A$6,data!$A$2:$GZ$25,122,FALSE)</f>
        <v>814.7414492325337</v>
      </c>
      <c r="D279" s="14">
        <v>0.1493797171857378</v>
      </c>
      <c r="E279" s="14">
        <v>0.14963754944087854</v>
      </c>
    </row>
    <row r="280" spans="1:5" s="5" customFormat="1" ht="12.75">
      <c r="A280" s="2" t="s">
        <v>301</v>
      </c>
      <c r="B280" s="14">
        <f t="shared" si="17"/>
        <v>0.041155837013420966</v>
      </c>
      <c r="C280" s="15">
        <f>VLOOKUP($A$6,data!$A$2:$GZ$25,123,FALSE)</f>
        <v>239.968025757983</v>
      </c>
      <c r="D280" s="14">
        <v>0.05026459616552443</v>
      </c>
      <c r="E280" s="14">
        <v>0.04970847015866772</v>
      </c>
    </row>
    <row r="281" spans="1:5" s="5" customFormat="1" ht="12.75">
      <c r="A281" s="2" t="s">
        <v>302</v>
      </c>
      <c r="B281" s="14">
        <f t="shared" si="17"/>
        <v>0.0907009048917093</v>
      </c>
      <c r="C281" s="15">
        <f>VLOOKUP($A$6,data!$A$2:$GZ$25,124,FALSE)</f>
        <v>528.851279934566</v>
      </c>
      <c r="D281" s="14">
        <v>0.09137676758913856</v>
      </c>
      <c r="E281" s="14">
        <v>0.06284529151990846</v>
      </c>
    </row>
    <row r="282" spans="1:5" s="5" customFormat="1" ht="12.75">
      <c r="A282" s="2" t="s">
        <v>303</v>
      </c>
      <c r="B282" s="14">
        <f t="shared" si="17"/>
        <v>0.017423038397025522</v>
      </c>
      <c r="C282" s="15">
        <f>VLOOKUP($A$6,data!$A$2:$GZ$25,125,FALSE)</f>
        <v>101.5888007690459</v>
      </c>
      <c r="D282" s="14">
        <v>0.023865706601891207</v>
      </c>
      <c r="E282" s="14">
        <v>0.02742029365547629</v>
      </c>
    </row>
    <row r="283" spans="1:5" s="5" customFormat="1" ht="12.75">
      <c r="A283" s="2" t="s">
        <v>304</v>
      </c>
      <c r="B283" s="14">
        <f t="shared" si="17"/>
        <v>0.010158459807195179</v>
      </c>
      <c r="C283" s="15">
        <f>VLOOKUP($A$6,data!$A$2:$GZ$25,126,FALSE)</f>
        <v>59.231101140757005</v>
      </c>
      <c r="D283" s="14">
        <v>0.012553136115207775</v>
      </c>
      <c r="E283" s="14">
        <v>0.04509723290006139</v>
      </c>
    </row>
    <row r="284" spans="1:5" s="5" customFormat="1" ht="12.75">
      <c r="A284" s="2" t="s">
        <v>305</v>
      </c>
      <c r="B284" s="14">
        <f t="shared" si="17"/>
        <v>0.021197520276697645</v>
      </c>
      <c r="C284" s="15">
        <f>VLOOKUP($A$6,data!$A$2:$GZ$25,127,FALSE)</f>
        <v>123.59673526030245</v>
      </c>
      <c r="D284" s="14">
        <v>0.013333911685607703</v>
      </c>
      <c r="E284" s="14">
        <v>0.011729531823933855</v>
      </c>
    </row>
    <row r="285" spans="1:5" s="5" customFormat="1" ht="12.75">
      <c r="A285" s="2" t="s">
        <v>306</v>
      </c>
      <c r="B285" s="14">
        <f t="shared" si="17"/>
        <v>0.05306891031725601</v>
      </c>
      <c r="C285" s="15">
        <f>VLOOKUP($A$6,data!$A$2:$GZ$25,128,FALSE)</f>
        <v>309.42978109779506</v>
      </c>
      <c r="D285" s="14">
        <v>0.044677713195107153</v>
      </c>
      <c r="E285" s="14">
        <v>0.05217341208115555</v>
      </c>
    </row>
    <row r="286" spans="1:5" s="5" customFormat="1" ht="12.75">
      <c r="A286" s="2" t="s">
        <v>307</v>
      </c>
      <c r="B286" s="14">
        <f t="shared" si="17"/>
        <v>0.04028403982816552</v>
      </c>
      <c r="C286" s="15">
        <f>VLOOKUP($A$6,data!$A$2:$GZ$25,129,FALSE)</f>
        <v>234.88482335976929</v>
      </c>
      <c r="D286" s="14">
        <v>0.03952459443046761</v>
      </c>
      <c r="E286" s="14">
        <v>0.04341222021578175</v>
      </c>
    </row>
    <row r="287" spans="1:5" s="5" customFormat="1" ht="12.75">
      <c r="A287" s="2" t="s">
        <v>308</v>
      </c>
      <c r="B287" s="14">
        <f t="shared" si="17"/>
        <v>0.06957515341370041</v>
      </c>
      <c r="C287" s="15">
        <f>VLOOKUP($A$6,data!$A$2:$GZ$25,130,FALSE)</f>
        <v>405.673008206587</v>
      </c>
      <c r="D287" s="14">
        <v>0.0664092999045719</v>
      </c>
      <c r="E287" s="14">
        <v>0.06965964015185377</v>
      </c>
    </row>
    <row r="288" spans="1:5" s="5" customFormat="1" ht="12.75">
      <c r="A288" s="2" t="s">
        <v>309</v>
      </c>
      <c r="B288" s="14">
        <f t="shared" si="17"/>
        <v>0.08353373584193524</v>
      </c>
      <c r="C288" s="15">
        <f>VLOOKUP($A$6,data!$A$2:$GZ$25,131,FALSE)</f>
        <v>487.06154773723176</v>
      </c>
      <c r="D288" s="14">
        <v>0.07578728203348659</v>
      </c>
      <c r="E288" s="14">
        <v>0.08421249197920454</v>
      </c>
    </row>
    <row r="289" spans="1:5" s="5" customFormat="1" ht="12.75">
      <c r="A289" s="2" t="s">
        <v>310</v>
      </c>
      <c r="B289" s="14">
        <f t="shared" si="17"/>
        <v>0.1454996687242145</v>
      </c>
      <c r="C289" s="15">
        <f>VLOOKUP($A$6,data!$A$2:$GZ$25,132,FALSE)</f>
        <v>848.3673467946816</v>
      </c>
      <c r="D289" s="14">
        <v>0.15199965298863533</v>
      </c>
      <c r="E289" s="14">
        <v>0.1497134365954877</v>
      </c>
    </row>
    <row r="290" spans="1:5" s="5" customFormat="1" ht="12.75">
      <c r="A290" s="2" t="s">
        <v>311</v>
      </c>
      <c r="B290" s="14">
        <f t="shared" si="17"/>
        <v>0.054011509280448324</v>
      </c>
      <c r="C290" s="15">
        <f>VLOOKUP($A$6,data!$A$2:$GZ$25,133,FALSE)</f>
        <v>314.9258086042948</v>
      </c>
      <c r="D290" s="14">
        <v>0.04936236661750673</v>
      </c>
      <c r="E290" s="14">
        <v>0.04857651987866002</v>
      </c>
    </row>
    <row r="291" s="5" customFormat="1" ht="12.75"/>
    <row r="292" spans="1:5" s="5" customFormat="1" ht="15">
      <c r="A292" s="6" t="s">
        <v>150</v>
      </c>
      <c r="B292" s="6"/>
      <c r="C292" s="6"/>
      <c r="D292" s="6"/>
      <c r="E292" s="6"/>
    </row>
    <row r="293" spans="1:5" s="5" customFormat="1" ht="12.75">
      <c r="A293" s="3" t="s">
        <v>474</v>
      </c>
      <c r="B293" s="17">
        <f>C293/C$293</f>
        <v>1</v>
      </c>
      <c r="C293" s="23">
        <f>VLOOKUP($A$6,data!$A$2:$GZ$25,134,FALSE)</f>
        <v>5830.716689827719</v>
      </c>
      <c r="D293" s="17">
        <v>1</v>
      </c>
      <c r="E293" s="17">
        <v>1</v>
      </c>
    </row>
    <row r="294" spans="1:5" s="5" customFormat="1" ht="12.75">
      <c r="A294" s="2" t="s">
        <v>312</v>
      </c>
      <c r="B294" s="14">
        <f aca="true" t="shared" si="18" ref="B294:B302">C294/C$293</f>
        <v>0.12212417122499898</v>
      </c>
      <c r="C294" s="15">
        <f>VLOOKUP($A$6,data!$A$2:$GZ$25,135,FALSE)</f>
        <v>712.0714433929796</v>
      </c>
      <c r="D294" s="14">
        <v>0.09734536306064026</v>
      </c>
      <c r="E294" s="14">
        <v>0.08376153951595121</v>
      </c>
    </row>
    <row r="295" spans="1:5" s="5" customFormat="1" ht="12.75">
      <c r="A295" s="2" t="s">
        <v>313</v>
      </c>
      <c r="B295" s="14">
        <f t="shared" si="18"/>
        <v>0.17398181312581307</v>
      </c>
      <c r="C295" s="15">
        <f>VLOOKUP($A$6,data!$A$2:$GZ$25,136,FALSE)</f>
        <v>1014.4386615191656</v>
      </c>
      <c r="D295" s="14">
        <v>0.14635204302940927</v>
      </c>
      <c r="E295" s="14">
        <v>0.167523476346848</v>
      </c>
    </row>
    <row r="296" spans="1:5" s="5" customFormat="1" ht="12.75">
      <c r="A296" s="2" t="s">
        <v>314</v>
      </c>
      <c r="B296" s="14">
        <f t="shared" si="18"/>
        <v>0.11258751808242293</v>
      </c>
      <c r="C296" s="15">
        <f>VLOOKUP($A$6,data!$A$2:$GZ$25,137,FALSE)</f>
        <v>656.4659207494635</v>
      </c>
      <c r="D296" s="14">
        <v>0.11001127786935024</v>
      </c>
      <c r="E296" s="14">
        <v>0.12649713237938015</v>
      </c>
    </row>
    <row r="297" spans="1:5" s="5" customFormat="1" ht="12.75">
      <c r="A297" s="2" t="s">
        <v>315</v>
      </c>
      <c r="B297" s="14">
        <f t="shared" si="18"/>
        <v>0.10029066630782962</v>
      </c>
      <c r="C297" s="15">
        <f>VLOOKUP($A$6,data!$A$2:$GZ$25,138,FALSE)</f>
        <v>584.7664618750047</v>
      </c>
      <c r="D297" s="14">
        <v>0.09696365055955582</v>
      </c>
      <c r="E297" s="14">
        <v>0.11368928779309427</v>
      </c>
    </row>
    <row r="298" spans="1:5" s="5" customFormat="1" ht="12.75">
      <c r="A298" s="2" t="s">
        <v>316</v>
      </c>
      <c r="B298" s="14">
        <f t="shared" si="18"/>
        <v>0.18565209908650032</v>
      </c>
      <c r="C298" s="15">
        <f>VLOOKUP($A$6,data!$A$2:$GZ$25,139,FALSE)</f>
        <v>1082.4847926452069</v>
      </c>
      <c r="D298" s="14">
        <v>0.16921141667389614</v>
      </c>
      <c r="E298" s="14">
        <v>0.12522453260863087</v>
      </c>
    </row>
    <row r="299" spans="1:5" s="5" customFormat="1" ht="12.75">
      <c r="A299" s="2" t="s">
        <v>317</v>
      </c>
      <c r="B299" s="14">
        <f t="shared" si="18"/>
        <v>0.08426027028089747</v>
      </c>
      <c r="C299" s="15">
        <f>VLOOKUP($A$6,data!$A$2:$GZ$25,140,FALSE)</f>
        <v>491.29776421622347</v>
      </c>
      <c r="D299" s="14">
        <v>0.10283681790578643</v>
      </c>
      <c r="E299" s="14">
        <v>0.09714668271819046</v>
      </c>
    </row>
    <row r="300" spans="1:5" s="5" customFormat="1" ht="12.75">
      <c r="A300" s="2" t="s">
        <v>318</v>
      </c>
      <c r="B300" s="14">
        <f t="shared" si="18"/>
        <v>0.06291723738262134</v>
      </c>
      <c r="C300" s="15">
        <f>VLOOKUP($A$6,data!$A$2:$GZ$25,141,FALSE)</f>
        <v>366.8525860847027</v>
      </c>
      <c r="D300" s="14">
        <v>0.08156502125444609</v>
      </c>
      <c r="E300" s="14">
        <v>0.09311751185488469</v>
      </c>
    </row>
    <row r="301" spans="1:5" s="5" customFormat="1" ht="12.75">
      <c r="A301" s="2" t="s">
        <v>320</v>
      </c>
      <c r="B301" s="14">
        <f t="shared" si="18"/>
        <v>0.06497874313791856</v>
      </c>
      <c r="C301" s="15">
        <f>VLOOKUP($A$6,data!$A$2:$GZ$25,142,FALSE)</f>
        <v>378.8726420982901</v>
      </c>
      <c r="D301" s="14">
        <v>0.08161707295913942</v>
      </c>
      <c r="E301" s="14">
        <v>0.07691778957803166</v>
      </c>
    </row>
    <row r="302" spans="1:5" s="5" customFormat="1" ht="12.75">
      <c r="A302" s="2" t="s">
        <v>319</v>
      </c>
      <c r="B302" s="14">
        <f t="shared" si="18"/>
        <v>0.09320748137099771</v>
      </c>
      <c r="C302" s="15">
        <f>VLOOKUP($A$6,data!$A$2:$GZ$25,143,FALSE)</f>
        <v>543.4664172466826</v>
      </c>
      <c r="D302" s="14">
        <v>0.11409733668777654</v>
      </c>
      <c r="E302" s="14">
        <v>0.11612204720498868</v>
      </c>
    </row>
    <row r="303" s="5" customFormat="1" ht="12.75"/>
    <row r="304" spans="1:5" s="5" customFormat="1" ht="18.75">
      <c r="A304" s="8" t="s">
        <v>268</v>
      </c>
      <c r="B304" s="28"/>
      <c r="C304" s="28"/>
      <c r="D304" s="28"/>
      <c r="E304" s="28"/>
    </row>
    <row r="305" spans="1:5" s="5" customFormat="1" ht="12.75">
      <c r="A305" s="1"/>
      <c r="B305" s="1"/>
      <c r="C305" s="1"/>
      <c r="D305" s="1"/>
      <c r="E305" s="1"/>
    </row>
    <row r="306" spans="1:5" s="5" customFormat="1" ht="15">
      <c r="A306" s="29" t="s">
        <v>0</v>
      </c>
      <c r="B306" s="36" t="str">
        <f>CONCATENATE($A$6," Ward")</f>
        <v>Aird and Loch Ness Ward</v>
      </c>
      <c r="C306" s="37"/>
      <c r="D306" s="30" t="s">
        <v>1</v>
      </c>
      <c r="E306" s="30" t="s">
        <v>2</v>
      </c>
    </row>
    <row r="307" spans="1:5" s="5" customFormat="1" ht="15">
      <c r="A307" s="29" t="s">
        <v>3</v>
      </c>
      <c r="B307" s="29" t="s">
        <v>4</v>
      </c>
      <c r="C307" s="29" t="s">
        <v>5</v>
      </c>
      <c r="D307" s="29" t="s">
        <v>4</v>
      </c>
      <c r="E307" s="29" t="s">
        <v>4</v>
      </c>
    </row>
    <row r="308" s="5" customFormat="1" ht="12.75"/>
    <row r="309" spans="1:5" s="5" customFormat="1" ht="15">
      <c r="A309" s="6" t="s">
        <v>151</v>
      </c>
      <c r="B309" s="6"/>
      <c r="C309" s="6"/>
      <c r="D309" s="6"/>
      <c r="E309" s="6"/>
    </row>
    <row r="310" spans="1:5" s="5" customFormat="1" ht="12.75">
      <c r="A310" s="3" t="s">
        <v>475</v>
      </c>
      <c r="B310" s="17">
        <f aca="true" t="shared" si="19" ref="B310:B315">C310/C$310</f>
        <v>1</v>
      </c>
      <c r="C310" s="23">
        <f>VLOOKUP($A$6,data!$A$2:$GZ$25,144,FALSE)</f>
        <v>9470.550235213144</v>
      </c>
      <c r="D310" s="17">
        <v>1</v>
      </c>
      <c r="E310" s="17">
        <v>1</v>
      </c>
    </row>
    <row r="311" spans="1:5" s="5" customFormat="1" ht="12.75">
      <c r="A311" s="2" t="s">
        <v>328</v>
      </c>
      <c r="B311" s="14">
        <f t="shared" si="19"/>
        <v>0.2157708574217876</v>
      </c>
      <c r="C311" s="15">
        <f>VLOOKUP($A$6,data!$A$2:$GZ$25,145,FALSE)</f>
        <v>2043.4687445080522</v>
      </c>
      <c r="D311" s="14">
        <v>0.2549309509578785</v>
      </c>
      <c r="E311" s="14">
        <v>0.26789146193531416</v>
      </c>
    </row>
    <row r="312" spans="1:5" s="5" customFormat="1" ht="63.75">
      <c r="A312" s="25" t="s">
        <v>323</v>
      </c>
      <c r="B312" s="14">
        <f t="shared" si="19"/>
        <v>0.22895754805374474</v>
      </c>
      <c r="C312" s="15">
        <f>VLOOKUP($A$6,data!$A$2:$GZ$25,146,FALSE)</f>
        <v>2168.353960574217</v>
      </c>
      <c r="D312" s="14">
        <v>0.2449432193526063</v>
      </c>
      <c r="E312" s="14">
        <v>0.23084228804641713</v>
      </c>
    </row>
    <row r="313" spans="1:5" s="5" customFormat="1" ht="51">
      <c r="A313" s="25" t="s">
        <v>324</v>
      </c>
      <c r="B313" s="14">
        <f t="shared" si="19"/>
        <v>0.14847334022529185</v>
      </c>
      <c r="C313" s="15">
        <f>VLOOKUP($A$6,data!$A$2:$GZ$25,147,FALSE)</f>
        <v>1406.124227193519</v>
      </c>
      <c r="D313" s="14">
        <v>0.14393867899797624</v>
      </c>
      <c r="E313" s="14">
        <v>0.14327761681013695</v>
      </c>
    </row>
    <row r="314" spans="1:5" s="5" customFormat="1" ht="25.5">
      <c r="A314" s="25" t="s">
        <v>325</v>
      </c>
      <c r="B314" s="14">
        <f t="shared" si="19"/>
        <v>0.08980154510404599</v>
      </c>
      <c r="C314" s="15">
        <f>VLOOKUP($A$6,data!$A$2:$GZ$25,148,FALSE)</f>
        <v>850.4700441076266</v>
      </c>
      <c r="D314" s="14">
        <v>0.09247957888997241</v>
      </c>
      <c r="E314" s="14">
        <v>0.09705161276179063</v>
      </c>
    </row>
    <row r="315" spans="1:5" s="5" customFormat="1" ht="51">
      <c r="A315" s="25" t="s">
        <v>326</v>
      </c>
      <c r="B315" s="14">
        <f t="shared" si="19"/>
        <v>0.3169967091951297</v>
      </c>
      <c r="C315" s="15">
        <f>VLOOKUP($A$6,data!$A$2:$GZ$25,149,FALSE)</f>
        <v>3002.133258829728</v>
      </c>
      <c r="D315" s="14">
        <v>0.26370757180156656</v>
      </c>
      <c r="E315" s="14">
        <v>0.26093702044634115</v>
      </c>
    </row>
  </sheetData>
  <sheetProtection/>
  <mergeCells count="18">
    <mergeCell ref="A1:E1"/>
    <mergeCell ref="A3:E3"/>
    <mergeCell ref="A4:E4"/>
    <mergeCell ref="A2:E2"/>
    <mergeCell ref="A8:E8"/>
    <mergeCell ref="B13:C13"/>
    <mergeCell ref="B44:C44"/>
    <mergeCell ref="A47:D47"/>
    <mergeCell ref="A54:D54"/>
    <mergeCell ref="A80:D80"/>
    <mergeCell ref="B170:C170"/>
    <mergeCell ref="B234:C234"/>
    <mergeCell ref="B306:C306"/>
    <mergeCell ref="A97:D97"/>
    <mergeCell ref="A108:D108"/>
    <mergeCell ref="A113:D113"/>
    <mergeCell ref="A129:D129"/>
    <mergeCell ref="B145:C145"/>
  </mergeCells>
  <dataValidations count="1">
    <dataValidation type="list" allowBlank="1" showInputMessage="1" showErrorMessage="1" sqref="A6">
      <formula1>WARDlist</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2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A25"/>
    </sheetView>
  </sheetViews>
  <sheetFormatPr defaultColWidth="9.140625" defaultRowHeight="12.75"/>
  <cols>
    <col min="1" max="1" width="34.57421875" style="5" bestFit="1" customWidth="1"/>
    <col min="2" max="2" width="12.00390625" style="5" bestFit="1" customWidth="1"/>
    <col min="3" max="149" width="9.140625" style="5" customWidth="1"/>
    <col min="150" max="150" width="12.00390625" style="5" bestFit="1" customWidth="1"/>
    <col min="151" max="16384" width="9.140625" style="5" customWidth="1"/>
  </cols>
  <sheetData>
    <row r="1" spans="1:206" s="4" customFormat="1" ht="127.5">
      <c r="A1" s="4" t="s">
        <v>329</v>
      </c>
      <c r="B1" s="4" t="s">
        <v>263</v>
      </c>
      <c r="C1" s="4" t="s">
        <v>218</v>
      </c>
      <c r="D1" s="4" t="s">
        <v>219</v>
      </c>
      <c r="E1" s="4" t="s">
        <v>107</v>
      </c>
      <c r="F1" s="4" t="s">
        <v>108</v>
      </c>
      <c r="G1" s="4" t="s">
        <v>109</v>
      </c>
      <c r="H1" s="4" t="s">
        <v>110</v>
      </c>
      <c r="I1" s="4" t="s">
        <v>111</v>
      </c>
      <c r="J1" s="4" t="s">
        <v>112</v>
      </c>
      <c r="K1" s="4" t="s">
        <v>113</v>
      </c>
      <c r="L1" s="4" t="s">
        <v>114</v>
      </c>
      <c r="M1" s="4" t="s">
        <v>115</v>
      </c>
      <c r="N1" s="4" t="s">
        <v>116</v>
      </c>
      <c r="O1" s="4" t="s">
        <v>117</v>
      </c>
      <c r="P1" s="4" t="s">
        <v>118</v>
      </c>
      <c r="Q1" s="4" t="s">
        <v>119</v>
      </c>
      <c r="R1" s="4" t="s">
        <v>126</v>
      </c>
      <c r="S1" s="4" t="s">
        <v>120</v>
      </c>
      <c r="T1" s="4" t="s">
        <v>121</v>
      </c>
      <c r="U1" s="4" t="s">
        <v>122</v>
      </c>
      <c r="V1" s="4" t="s">
        <v>123</v>
      </c>
      <c r="W1" s="4" t="s">
        <v>124</v>
      </c>
      <c r="X1" s="4" t="s">
        <v>125</v>
      </c>
      <c r="Y1" s="4" t="s">
        <v>130</v>
      </c>
      <c r="Z1" s="4" t="s">
        <v>127</v>
      </c>
      <c r="AA1" s="4" t="s">
        <v>128</v>
      </c>
      <c r="AB1" s="4" t="s">
        <v>129</v>
      </c>
      <c r="AC1" s="4" t="s">
        <v>270</v>
      </c>
      <c r="AD1" s="4" t="s">
        <v>220</v>
      </c>
      <c r="AE1" s="4" t="s">
        <v>131</v>
      </c>
      <c r="AF1" s="4" t="s">
        <v>132</v>
      </c>
      <c r="AG1" s="4" t="s">
        <v>133</v>
      </c>
      <c r="AH1" s="4" t="s">
        <v>221</v>
      </c>
      <c r="AI1" s="4" t="s">
        <v>134</v>
      </c>
      <c r="AJ1" s="4" t="s">
        <v>135</v>
      </c>
      <c r="AK1" s="4" t="s">
        <v>136</v>
      </c>
      <c r="AL1" s="4" t="s">
        <v>137</v>
      </c>
      <c r="AM1" s="4" t="s">
        <v>138</v>
      </c>
      <c r="AN1" s="4" t="s">
        <v>139</v>
      </c>
      <c r="AO1" s="4" t="s">
        <v>140</v>
      </c>
      <c r="AP1" s="4" t="s">
        <v>141</v>
      </c>
      <c r="AQ1" s="4" t="s">
        <v>142</v>
      </c>
      <c r="AR1" s="4" t="s">
        <v>143</v>
      </c>
      <c r="AS1" s="4" t="s">
        <v>144</v>
      </c>
      <c r="AT1" s="4" t="s">
        <v>145</v>
      </c>
      <c r="AU1" s="4" t="s">
        <v>146</v>
      </c>
      <c r="AV1" s="4" t="s">
        <v>222</v>
      </c>
      <c r="AW1" s="4" t="s">
        <v>156</v>
      </c>
      <c r="AX1" s="4" t="s">
        <v>157</v>
      </c>
      <c r="AY1" s="4" t="s">
        <v>158</v>
      </c>
      <c r="AZ1" s="4" t="s">
        <v>159</v>
      </c>
      <c r="BA1" s="4" t="s">
        <v>160</v>
      </c>
      <c r="BB1" s="4" t="s">
        <v>161</v>
      </c>
      <c r="BC1" s="4" t="s">
        <v>223</v>
      </c>
      <c r="BD1" s="4" t="s">
        <v>162</v>
      </c>
      <c r="BE1" s="4" t="s">
        <v>163</v>
      </c>
      <c r="BF1" s="4" t="s">
        <v>164</v>
      </c>
      <c r="BG1" s="4" t="s">
        <v>165</v>
      </c>
      <c r="BH1" s="4" t="s">
        <v>166</v>
      </c>
      <c r="BI1" s="4" t="s">
        <v>167</v>
      </c>
      <c r="BJ1" s="4" t="s">
        <v>168</v>
      </c>
      <c r="BK1" s="4" t="s">
        <v>169</v>
      </c>
      <c r="BL1" s="4" t="s">
        <v>224</v>
      </c>
      <c r="BM1" s="4" t="s">
        <v>170</v>
      </c>
      <c r="BN1" s="4" t="s">
        <v>171</v>
      </c>
      <c r="BO1" s="4" t="s">
        <v>172</v>
      </c>
      <c r="BP1" s="4" t="s">
        <v>173</v>
      </c>
      <c r="BQ1" s="4" t="s">
        <v>174</v>
      </c>
      <c r="BR1" s="4" t="s">
        <v>175</v>
      </c>
      <c r="BS1" s="4" t="s">
        <v>225</v>
      </c>
      <c r="BT1" s="4" t="s">
        <v>176</v>
      </c>
      <c r="BU1" s="4" t="s">
        <v>177</v>
      </c>
      <c r="BV1" s="4" t="s">
        <v>178</v>
      </c>
      <c r="BW1" s="4" t="s">
        <v>179</v>
      </c>
      <c r="BX1" s="4" t="s">
        <v>180</v>
      </c>
      <c r="BY1" s="4" t="s">
        <v>217</v>
      </c>
      <c r="BZ1" s="4" t="s">
        <v>181</v>
      </c>
      <c r="CA1" s="4" t="s">
        <v>182</v>
      </c>
      <c r="CB1" s="4" t="s">
        <v>183</v>
      </c>
      <c r="CC1" s="4" t="s">
        <v>184</v>
      </c>
      <c r="CD1" s="4" t="s">
        <v>185</v>
      </c>
      <c r="CE1" s="4" t="s">
        <v>100</v>
      </c>
      <c r="CF1" s="4" t="s">
        <v>186</v>
      </c>
      <c r="CG1" s="4" t="s">
        <v>187</v>
      </c>
      <c r="CH1" s="4" t="s">
        <v>188</v>
      </c>
      <c r="CI1" s="4" t="s">
        <v>189</v>
      </c>
      <c r="CJ1" s="4" t="s">
        <v>192</v>
      </c>
      <c r="CK1" s="4" t="s">
        <v>193</v>
      </c>
      <c r="CL1" s="4" t="s">
        <v>194</v>
      </c>
      <c r="CM1" s="4" t="s">
        <v>226</v>
      </c>
      <c r="CN1" s="4" t="s">
        <v>227</v>
      </c>
      <c r="CO1" s="4" t="s">
        <v>228</v>
      </c>
      <c r="CP1" s="4" t="s">
        <v>229</v>
      </c>
      <c r="CQ1" s="4" t="s">
        <v>230</v>
      </c>
      <c r="CR1" s="4" t="s">
        <v>231</v>
      </c>
      <c r="CS1" s="4" t="s">
        <v>232</v>
      </c>
      <c r="CT1" s="4" t="s">
        <v>233</v>
      </c>
      <c r="CU1" s="4" t="s">
        <v>195</v>
      </c>
      <c r="CV1" s="4" t="s">
        <v>234</v>
      </c>
      <c r="CW1" s="4" t="s">
        <v>235</v>
      </c>
      <c r="CX1" s="4" t="s">
        <v>236</v>
      </c>
      <c r="CY1" s="4" t="s">
        <v>237</v>
      </c>
      <c r="CZ1" s="4" t="s">
        <v>238</v>
      </c>
      <c r="DA1" s="4" t="s">
        <v>239</v>
      </c>
      <c r="DB1" s="4" t="s">
        <v>240</v>
      </c>
      <c r="DC1" s="4" t="s">
        <v>241</v>
      </c>
      <c r="DD1" s="4" t="s">
        <v>242</v>
      </c>
      <c r="DE1" s="4" t="s">
        <v>243</v>
      </c>
      <c r="DF1" s="4" t="s">
        <v>197</v>
      </c>
      <c r="DG1" s="4" t="s">
        <v>244</v>
      </c>
      <c r="DH1" s="4" t="s">
        <v>245</v>
      </c>
      <c r="DI1" s="4" t="s">
        <v>246</v>
      </c>
      <c r="DJ1" s="4" t="s">
        <v>198</v>
      </c>
      <c r="DK1" s="4" t="s">
        <v>247</v>
      </c>
      <c r="DL1" s="4" t="s">
        <v>271</v>
      </c>
      <c r="DM1" s="4" t="s">
        <v>199</v>
      </c>
      <c r="DN1" s="4" t="s">
        <v>200</v>
      </c>
      <c r="DO1" s="4" t="s">
        <v>248</v>
      </c>
      <c r="DP1" s="4" t="s">
        <v>249</v>
      </c>
      <c r="DQ1" s="4" t="s">
        <v>201</v>
      </c>
      <c r="DR1" s="4" t="s">
        <v>250</v>
      </c>
      <c r="DS1" s="4" t="s">
        <v>202</v>
      </c>
      <c r="DT1" s="4" t="s">
        <v>203</v>
      </c>
      <c r="DU1" s="4" t="s">
        <v>204</v>
      </c>
      <c r="DV1" s="4" t="s">
        <v>205</v>
      </c>
      <c r="DW1" s="4" t="s">
        <v>206</v>
      </c>
      <c r="DX1" s="4" t="s">
        <v>251</v>
      </c>
      <c r="DY1" s="4" t="s">
        <v>207</v>
      </c>
      <c r="DZ1" s="4" t="s">
        <v>272</v>
      </c>
      <c r="EA1" s="4" t="s">
        <v>208</v>
      </c>
      <c r="EB1" s="4" t="s">
        <v>209</v>
      </c>
      <c r="EC1" s="4" t="s">
        <v>252</v>
      </c>
      <c r="ED1" s="4" t="s">
        <v>253</v>
      </c>
      <c r="EE1" s="4" t="s">
        <v>254</v>
      </c>
      <c r="EF1" s="4" t="s">
        <v>255</v>
      </c>
      <c r="EG1" s="4" t="s">
        <v>256</v>
      </c>
      <c r="EH1" s="4" t="s">
        <v>257</v>
      </c>
      <c r="EI1" s="4" t="s">
        <v>258</v>
      </c>
      <c r="EJ1" s="4" t="s">
        <v>259</v>
      </c>
      <c r="EK1" s="4" t="s">
        <v>260</v>
      </c>
      <c r="EL1" s="4" t="s">
        <v>261</v>
      </c>
      <c r="EM1" s="4" t="s">
        <v>262</v>
      </c>
      <c r="EN1" s="4" t="s">
        <v>21</v>
      </c>
      <c r="EO1" s="4" t="s">
        <v>210</v>
      </c>
      <c r="EP1" s="4" t="s">
        <v>211</v>
      </c>
      <c r="EQ1" s="4" t="s">
        <v>212</v>
      </c>
      <c r="ER1" s="4" t="s">
        <v>213</v>
      </c>
      <c r="ES1" s="4" t="s">
        <v>214</v>
      </c>
      <c r="ET1" s="27" t="s">
        <v>355</v>
      </c>
      <c r="EU1" s="27" t="s">
        <v>356</v>
      </c>
      <c r="EV1" s="27" t="s">
        <v>357</v>
      </c>
      <c r="EW1" s="27" t="s">
        <v>358</v>
      </c>
      <c r="EX1" s="27" t="s">
        <v>359</v>
      </c>
      <c r="EY1" s="27" t="s">
        <v>360</v>
      </c>
      <c r="EZ1" s="27" t="s">
        <v>361</v>
      </c>
      <c r="FA1" s="27" t="s">
        <v>362</v>
      </c>
      <c r="FB1" s="27" t="s">
        <v>363</v>
      </c>
      <c r="FC1" s="27" t="s">
        <v>364</v>
      </c>
      <c r="FD1" s="27" t="s">
        <v>365</v>
      </c>
      <c r="FE1" s="27" t="s">
        <v>366</v>
      </c>
      <c r="FF1" s="27" t="s">
        <v>367</v>
      </c>
      <c r="FG1" s="27" t="s">
        <v>368</v>
      </c>
      <c r="FH1" s="27" t="s">
        <v>369</v>
      </c>
      <c r="FI1" s="27" t="s">
        <v>370</v>
      </c>
      <c r="FJ1" s="27" t="s">
        <v>371</v>
      </c>
      <c r="FK1" s="27" t="s">
        <v>372</v>
      </c>
      <c r="FL1" s="27" t="s">
        <v>373</v>
      </c>
      <c r="FM1" s="27" t="s">
        <v>374</v>
      </c>
      <c r="FN1" s="27" t="s">
        <v>375</v>
      </c>
      <c r="FO1" s="27" t="s">
        <v>376</v>
      </c>
      <c r="FP1" s="27" t="s">
        <v>377</v>
      </c>
      <c r="FQ1" s="27" t="s">
        <v>378</v>
      </c>
      <c r="FR1" s="27" t="s">
        <v>379</v>
      </c>
      <c r="FS1" s="27" t="s">
        <v>380</v>
      </c>
      <c r="FT1" s="27" t="s">
        <v>381</v>
      </c>
      <c r="FU1" s="27" t="s">
        <v>382</v>
      </c>
      <c r="FV1" s="27" t="s">
        <v>383</v>
      </c>
      <c r="FW1" s="27" t="s">
        <v>384</v>
      </c>
      <c r="FX1" s="27" t="s">
        <v>385</v>
      </c>
      <c r="FY1" s="27" t="s">
        <v>386</v>
      </c>
      <c r="FZ1" s="27" t="s">
        <v>387</v>
      </c>
      <c r="GA1" s="27" t="s">
        <v>388</v>
      </c>
      <c r="GB1" s="27" t="s">
        <v>389</v>
      </c>
      <c r="GC1" s="27" t="s">
        <v>390</v>
      </c>
      <c r="GD1" s="27" t="s">
        <v>391</v>
      </c>
      <c r="GE1" s="27" t="s">
        <v>392</v>
      </c>
      <c r="GF1" s="27" t="s">
        <v>393</v>
      </c>
      <c r="GG1" s="27" t="s">
        <v>130</v>
      </c>
      <c r="GH1" s="27" t="s">
        <v>394</v>
      </c>
      <c r="GI1" s="27" t="s">
        <v>395</v>
      </c>
      <c r="GJ1" s="27" t="s">
        <v>396</v>
      </c>
      <c r="GK1" s="27" t="s">
        <v>397</v>
      </c>
      <c r="GL1" s="27" t="s">
        <v>270</v>
      </c>
      <c r="GM1" s="27" t="s">
        <v>6</v>
      </c>
      <c r="GN1" s="27" t="s">
        <v>398</v>
      </c>
      <c r="GO1" s="27" t="s">
        <v>399</v>
      </c>
      <c r="GP1" s="27" t="s">
        <v>400</v>
      </c>
      <c r="GQ1" s="27" t="s">
        <v>401</v>
      </c>
      <c r="GR1" s="27" t="s">
        <v>402</v>
      </c>
      <c r="GS1" s="27" t="s">
        <v>403</v>
      </c>
      <c r="GT1" s="27" t="s">
        <v>404</v>
      </c>
      <c r="GU1" s="27" t="s">
        <v>405</v>
      </c>
      <c r="GV1" s="27" t="s">
        <v>406</v>
      </c>
      <c r="GW1" s="27" t="s">
        <v>407</v>
      </c>
      <c r="GX1" s="27" t="s">
        <v>408</v>
      </c>
    </row>
    <row r="2" spans="1:206" ht="12.75">
      <c r="A2" s="5" t="s">
        <v>330</v>
      </c>
      <c r="B2" s="9">
        <v>2453.38361871</v>
      </c>
      <c r="C2" s="9">
        <v>11490.3988235175</v>
      </c>
      <c r="D2" s="9">
        <v>532.1189937776892</v>
      </c>
      <c r="E2" s="9">
        <v>1487.7295945266687</v>
      </c>
      <c r="F2" s="9">
        <v>1389.510025007466</v>
      </c>
      <c r="G2" s="9">
        <v>2008.7088661745638</v>
      </c>
      <c r="H2" s="9">
        <v>2901.686255812815</v>
      </c>
      <c r="I2" s="9">
        <v>2235.555807197123</v>
      </c>
      <c r="J2" s="9">
        <v>935.0892810211751</v>
      </c>
      <c r="K2" s="9">
        <v>2019.8485883043577</v>
      </c>
      <c r="L2" s="9">
        <v>7253.530551487304</v>
      </c>
      <c r="M2" s="9">
        <v>2217.019683725838</v>
      </c>
      <c r="N2" s="9">
        <v>5689.1868454109945</v>
      </c>
      <c r="O2" s="9">
        <v>5801.211978106506</v>
      </c>
      <c r="P2" s="9">
        <v>11434.344028996951</v>
      </c>
      <c r="Q2" s="9">
        <v>56.054794520547944</v>
      </c>
      <c r="R2" s="9">
        <v>4903.828434449121</v>
      </c>
      <c r="S2" s="9">
        <v>1330.647328109022</v>
      </c>
      <c r="T2" s="9">
        <v>1928.9810073717995</v>
      </c>
      <c r="U2" s="9">
        <v>734.9450922947956</v>
      </c>
      <c r="V2" s="9">
        <v>610.5239395168813</v>
      </c>
      <c r="W2" s="9">
        <v>226.82341590771875</v>
      </c>
      <c r="X2" s="9">
        <v>71.90765124890409</v>
      </c>
      <c r="Y2" s="9">
        <v>3700.949844769564</v>
      </c>
      <c r="Z2" s="9">
        <v>316.9676763115607</v>
      </c>
      <c r="AA2" s="9">
        <v>134.28841565993164</v>
      </c>
      <c r="AB2" s="9">
        <v>530.9776767515636</v>
      </c>
      <c r="AC2" s="9">
        <v>146.43846001991278</v>
      </c>
      <c r="AD2" s="9">
        <v>7561.588163236814</v>
      </c>
      <c r="AE2" s="9">
        <v>540.7204643770074</v>
      </c>
      <c r="AF2" s="9">
        <v>2057.6392102838577</v>
      </c>
      <c r="AG2" s="9">
        <v>1707.935145254626</v>
      </c>
      <c r="AH2" s="9">
        <v>597.5336145336307</v>
      </c>
      <c r="AI2" s="9">
        <v>6512.625078677163</v>
      </c>
      <c r="AJ2" s="9">
        <v>3375.177337153823</v>
      </c>
      <c r="AK2" s="9">
        <v>1215.0168534166874</v>
      </c>
      <c r="AL2" s="9">
        <v>296.19824885125365</v>
      </c>
      <c r="AM2" s="9">
        <v>91.38130541857484</v>
      </c>
      <c r="AN2" s="9">
        <v>764.0110585803725</v>
      </c>
      <c r="AO2" s="9">
        <v>1187.2281615350378</v>
      </c>
      <c r="AP2" s="9">
        <v>9539.159603402091</v>
      </c>
      <c r="AQ2" s="9">
        <v>10455.360284930806</v>
      </c>
      <c r="AR2" s="9">
        <v>643.489991435549</v>
      </c>
      <c r="AS2" s="9">
        <v>77.83163735052177</v>
      </c>
      <c r="AT2" s="9">
        <v>57.30204710779165</v>
      </c>
      <c r="AU2" s="9">
        <v>256.41486269283143</v>
      </c>
      <c r="AV2" s="9">
        <v>11490.3988235175</v>
      </c>
      <c r="AW2" s="9">
        <v>8382.328068816605</v>
      </c>
      <c r="AX2" s="9">
        <v>2628.212601536569</v>
      </c>
      <c r="AY2" s="9">
        <v>73.76851441241686</v>
      </c>
      <c r="AZ2" s="9">
        <v>47.80487804878049</v>
      </c>
      <c r="BA2" s="9">
        <v>222.2847607031277</v>
      </c>
      <c r="BB2" s="9">
        <v>53</v>
      </c>
      <c r="BC2" s="9">
        <v>11490.3988235175</v>
      </c>
      <c r="BD2" s="9">
        <v>6331.06776926598</v>
      </c>
      <c r="BE2" s="9">
        <v>1622.6965509120278</v>
      </c>
      <c r="BF2" s="9">
        <v>1637.8871694183213</v>
      </c>
      <c r="BG2" s="9">
        <v>337.8472762259809</v>
      </c>
      <c r="BH2" s="9">
        <v>763.3589691432361</v>
      </c>
      <c r="BI2" s="9">
        <v>494.22591359028127</v>
      </c>
      <c r="BJ2" s="9">
        <v>264.33335677985474</v>
      </c>
      <c r="BK2" s="9">
        <v>38.981818181818184</v>
      </c>
      <c r="BL2" s="9">
        <v>11490.3988235175</v>
      </c>
      <c r="BM2" s="9">
        <v>3927.307757298738</v>
      </c>
      <c r="BN2" s="9">
        <v>869.6317010215299</v>
      </c>
      <c r="BO2" s="9">
        <v>1340.2181681156692</v>
      </c>
      <c r="BP2" s="9">
        <v>14</v>
      </c>
      <c r="BQ2" s="9">
        <v>4161.523202038143</v>
      </c>
      <c r="BR2" s="9">
        <v>1068.5973040744343</v>
      </c>
      <c r="BS2" s="9">
        <v>11490.3988235175</v>
      </c>
      <c r="BT2" s="9">
        <v>8026.796409857982</v>
      </c>
      <c r="BU2" s="9">
        <v>2729.467606533419</v>
      </c>
      <c r="BV2" s="9">
        <v>89.53312480202725</v>
      </c>
      <c r="BW2" s="9">
        <v>76.98181818181818</v>
      </c>
      <c r="BX2" s="9">
        <v>32.786696230598665</v>
      </c>
      <c r="BY2" s="9">
        <v>225.6416624131784</v>
      </c>
      <c r="BZ2" s="9">
        <v>562.6198641422528</v>
      </c>
      <c r="CA2" s="9">
        <v>43.054794520547944</v>
      </c>
      <c r="CB2" s="9">
        <v>77.375</v>
      </c>
      <c r="CC2" s="9">
        <v>114.11598458223742</v>
      </c>
      <c r="CD2" s="9">
        <v>328.0740850394674</v>
      </c>
      <c r="CE2" s="9">
        <v>11190.233856735054</v>
      </c>
      <c r="CF2" s="9">
        <v>11117.68997363941</v>
      </c>
      <c r="CG2" s="9">
        <v>63.489088575096275</v>
      </c>
      <c r="CH2" s="9">
        <v>9.054794520547945</v>
      </c>
      <c r="CI2" s="9">
        <v>450.51112104479836</v>
      </c>
      <c r="CJ2" s="9">
        <v>10514.87288749697</v>
      </c>
      <c r="CK2" s="9">
        <v>2064.494071234947</v>
      </c>
      <c r="CL2" s="9">
        <v>590.5122641578736</v>
      </c>
      <c r="CM2" s="9">
        <v>8535.460954191967</v>
      </c>
      <c r="CN2" s="9">
        <v>1218.1343960259821</v>
      </c>
      <c r="CO2" s="9">
        <v>3147.0160814647106</v>
      </c>
      <c r="CP2" s="9">
        <v>1322.960735229624</v>
      </c>
      <c r="CQ2" s="9">
        <v>260.2361372366006</v>
      </c>
      <c r="CR2" s="9">
        <v>142.60547710740263</v>
      </c>
      <c r="CS2" s="9">
        <v>20.56140350877193</v>
      </c>
      <c r="CT2" s="9">
        <v>8535.460954191967</v>
      </c>
      <c r="CU2" s="9">
        <v>2423.946723618876</v>
      </c>
      <c r="CV2" s="9">
        <v>1468.1840672570318</v>
      </c>
      <c r="CW2" s="9">
        <v>269.13432799491056</v>
      </c>
      <c r="CX2" s="9">
        <v>334.56862474238324</v>
      </c>
      <c r="CY2" s="9">
        <v>235.14527784965253</v>
      </c>
      <c r="CZ2" s="9">
        <v>116.91442577489804</v>
      </c>
      <c r="DA2" s="9">
        <v>260.2361372366006</v>
      </c>
      <c r="DB2" s="9">
        <v>59.368421052631575</v>
      </c>
      <c r="DC2" s="9">
        <v>80.38421544209216</v>
      </c>
      <c r="DD2" s="9">
        <v>16.912280701754387</v>
      </c>
      <c r="DE2" s="9">
        <v>5830.716689827719</v>
      </c>
      <c r="DF2" s="9">
        <v>476.4536799201174</v>
      </c>
      <c r="DG2" s="9">
        <v>1209.4643273699237</v>
      </c>
      <c r="DH2" s="9">
        <v>1002.787362699873</v>
      </c>
      <c r="DI2" s="9">
        <v>2085.4175782586644</v>
      </c>
      <c r="DJ2" s="9">
        <v>1056.59374157914</v>
      </c>
      <c r="DK2" s="9">
        <v>5830.716689827719</v>
      </c>
      <c r="DL2" s="9">
        <v>278.1852633988306</v>
      </c>
      <c r="DM2" s="9">
        <v>56.42852304918661</v>
      </c>
      <c r="DN2" s="9">
        <v>273.02886976081584</v>
      </c>
      <c r="DO2" s="9">
        <v>66.29322169059012</v>
      </c>
      <c r="DP2" s="9">
        <v>30.804878048780488</v>
      </c>
      <c r="DQ2" s="9">
        <v>657.6562259839679</v>
      </c>
      <c r="DR2" s="9">
        <v>814.7414492325337</v>
      </c>
      <c r="DS2" s="9">
        <v>239.968025757983</v>
      </c>
      <c r="DT2" s="9">
        <v>528.851279934566</v>
      </c>
      <c r="DU2" s="9">
        <v>101.5888007690459</v>
      </c>
      <c r="DV2" s="9">
        <v>59.231101140757005</v>
      </c>
      <c r="DW2" s="9">
        <v>123.59673526030245</v>
      </c>
      <c r="DX2" s="9">
        <v>309.42978109779506</v>
      </c>
      <c r="DY2" s="9">
        <v>234.88482335976929</v>
      </c>
      <c r="DZ2" s="9">
        <v>405.673008206587</v>
      </c>
      <c r="EA2" s="9">
        <v>487.06154773723176</v>
      </c>
      <c r="EB2" s="9">
        <v>848.3673467946816</v>
      </c>
      <c r="EC2" s="9">
        <v>314.9258086042948</v>
      </c>
      <c r="ED2" s="9">
        <v>5830.716689827719</v>
      </c>
      <c r="EE2" s="9">
        <v>712.0714433929796</v>
      </c>
      <c r="EF2" s="9">
        <v>1014.4386615191656</v>
      </c>
      <c r="EG2" s="9">
        <v>656.4659207494635</v>
      </c>
      <c r="EH2" s="9">
        <v>584.7664618750047</v>
      </c>
      <c r="EI2" s="9">
        <v>1082.4847926452069</v>
      </c>
      <c r="EJ2" s="9">
        <v>491.29776421622347</v>
      </c>
      <c r="EK2" s="9">
        <v>366.8525860847027</v>
      </c>
      <c r="EL2" s="9">
        <v>378.8726420982901</v>
      </c>
      <c r="EM2" s="9">
        <v>543.4664172466826</v>
      </c>
      <c r="EN2" s="9">
        <v>9470.550235213144</v>
      </c>
      <c r="EO2" s="9">
        <v>2043.4687445080522</v>
      </c>
      <c r="EP2" s="9">
        <v>2168.353960574217</v>
      </c>
      <c r="EQ2" s="9">
        <v>1406.124227193519</v>
      </c>
      <c r="ER2" s="9">
        <v>850.4700441076266</v>
      </c>
      <c r="ES2" s="9">
        <v>3002.133258829728</v>
      </c>
      <c r="ET2" s="9">
        <v>5424.840824078238</v>
      </c>
      <c r="EU2" s="9">
        <v>4903.828434449121</v>
      </c>
      <c r="EV2" s="9">
        <v>521.0123896291163</v>
      </c>
      <c r="EW2" s="9">
        <v>331.7094048945527</v>
      </c>
      <c r="EX2" s="9">
        <v>189.3029847345637</v>
      </c>
      <c r="EY2" s="9">
        <v>4902.828434449121</v>
      </c>
      <c r="EZ2" s="9">
        <v>3183.6720006399078</v>
      </c>
      <c r="FA2" s="9">
        <v>966.8495527785384</v>
      </c>
      <c r="FB2" s="9">
        <v>422.3071245186136</v>
      </c>
      <c r="FC2" s="9">
        <v>237.77279784827923</v>
      </c>
      <c r="FD2" s="9">
        <v>92.22695866378274</v>
      </c>
      <c r="FE2" s="9">
        <v>648.1929867838506</v>
      </c>
      <c r="FF2" s="9">
        <v>682.4543413251715</v>
      </c>
      <c r="FG2" s="9">
        <v>480.41806071461497</v>
      </c>
      <c r="FH2" s="9">
        <v>902.1428323584378</v>
      </c>
      <c r="FI2" s="9">
        <v>803.457441231256</v>
      </c>
      <c r="FJ2" s="9">
        <v>310.5040740062805</v>
      </c>
      <c r="FK2" s="9">
        <v>241.58354049629128</v>
      </c>
      <c r="FL2" s="9">
        <v>188.9953170597727</v>
      </c>
      <c r="FM2" s="9">
        <v>29.0312728027888</v>
      </c>
      <c r="FN2" s="9">
        <v>219.2357840809843</v>
      </c>
      <c r="FO2" s="9">
        <v>140.16374825416668</v>
      </c>
      <c r="FP2" s="9">
        <v>70.24236302835271</v>
      </c>
      <c r="FQ2" s="9">
        <v>3</v>
      </c>
      <c r="FR2" s="9">
        <v>25</v>
      </c>
      <c r="FS2" s="9">
        <v>159.40667230715368</v>
      </c>
      <c r="FT2" s="9">
        <v>4903.828434449121</v>
      </c>
      <c r="FU2" s="9">
        <v>96.65513784461153</v>
      </c>
      <c r="FV2" s="9">
        <v>1281.9309054003656</v>
      </c>
      <c r="FW2" s="9">
        <v>425.24042625052743</v>
      </c>
      <c r="FX2" s="9">
        <v>291.6619197014496</v>
      </c>
      <c r="FY2" s="9">
        <v>219.2357840809843</v>
      </c>
      <c r="FZ2" s="9">
        <v>86.86736302835271</v>
      </c>
      <c r="GA2" s="9">
        <v>69.45614035087719</v>
      </c>
      <c r="GB2" s="9">
        <v>62.91228070175438</v>
      </c>
      <c r="GC2" s="9">
        <v>277.7409227058778</v>
      </c>
      <c r="GD2" s="9">
        <v>370.45206407797275</v>
      </c>
      <c r="GE2" s="9">
        <v>556.6372169432024</v>
      </c>
      <c r="GF2" s="9">
        <v>1453.2101194253896</v>
      </c>
      <c r="GG2" s="9">
        <v>1167.209972888437</v>
      </c>
      <c r="GH2" s="9">
        <v>3</v>
      </c>
      <c r="GI2" s="9">
        <v>122.83114035087719</v>
      </c>
      <c r="GJ2" s="9">
        <v>28.45614035087719</v>
      </c>
      <c r="GK2" s="9">
        <v>85.37763649472373</v>
      </c>
      <c r="GL2" s="9">
        <v>46.33522934047448</v>
      </c>
      <c r="GM2" s="9">
        <v>7622.132800415978</v>
      </c>
      <c r="GN2" s="9">
        <v>1353.1426591777104</v>
      </c>
      <c r="GO2" s="9">
        <v>7</v>
      </c>
      <c r="GP2" s="9">
        <v>144.16893708544666</v>
      </c>
      <c r="GQ2" s="9">
        <v>924.5334919989127</v>
      </c>
      <c r="GR2" s="9">
        <v>24.804878048780488</v>
      </c>
      <c r="GS2" s="9">
        <v>3586.250627662617</v>
      </c>
      <c r="GT2" s="9">
        <v>637.7630391320159</v>
      </c>
      <c r="GU2" s="9">
        <v>14.456140350877192</v>
      </c>
      <c r="GV2" s="9">
        <v>109.05482456140352</v>
      </c>
      <c r="GW2" s="9">
        <v>731.8362768271406</v>
      </c>
      <c r="GX2" s="9">
        <v>89.12192557107315</v>
      </c>
    </row>
    <row r="3" spans="1:206" ht="12.75">
      <c r="A3" s="5" t="s">
        <v>331</v>
      </c>
      <c r="B3" s="9">
        <v>2329.93907977</v>
      </c>
      <c r="C3" s="9">
        <v>13664</v>
      </c>
      <c r="D3" s="9">
        <v>667.4545454545455</v>
      </c>
      <c r="E3" s="9">
        <v>1692.9545454545455</v>
      </c>
      <c r="F3" s="9">
        <v>2018.1363636363637</v>
      </c>
      <c r="G3" s="9">
        <v>2522.227272727273</v>
      </c>
      <c r="H3" s="9">
        <v>3039.7272727272725</v>
      </c>
      <c r="I3" s="9">
        <v>2558.0454545454545</v>
      </c>
      <c r="J3" s="9">
        <v>1165.4545454545455</v>
      </c>
      <c r="K3" s="9">
        <v>2360.409090909091</v>
      </c>
      <c r="L3" s="9">
        <v>8679.272727272728</v>
      </c>
      <c r="M3" s="9">
        <v>2624.318181818182</v>
      </c>
      <c r="N3" s="9">
        <v>6697.636363636364</v>
      </c>
      <c r="O3" s="9">
        <v>6966.363636363636</v>
      </c>
      <c r="P3" s="9">
        <v>13195</v>
      </c>
      <c r="Q3" s="9">
        <v>469</v>
      </c>
      <c r="R3" s="9">
        <v>5981.227272727273</v>
      </c>
      <c r="S3" s="9">
        <v>1908.1818181818182</v>
      </c>
      <c r="T3" s="9">
        <v>2304.818181818182</v>
      </c>
      <c r="U3" s="9">
        <v>817.3181818181819</v>
      </c>
      <c r="V3" s="9">
        <v>653.3181818181818</v>
      </c>
      <c r="W3" s="9">
        <v>216.5909090909091</v>
      </c>
      <c r="X3" s="9">
        <v>81</v>
      </c>
      <c r="Y3" s="9">
        <v>3844.6363636363635</v>
      </c>
      <c r="Z3" s="9">
        <v>546.3181818181818</v>
      </c>
      <c r="AA3" s="9">
        <v>445</v>
      </c>
      <c r="AB3" s="9">
        <v>776.4545454545455</v>
      </c>
      <c r="AC3" s="9">
        <v>239.5</v>
      </c>
      <c r="AD3" s="9">
        <v>7817.227272727273</v>
      </c>
      <c r="AE3" s="9">
        <v>943.5909090909091</v>
      </c>
      <c r="AF3" s="9">
        <v>2961.090909090909</v>
      </c>
      <c r="AG3" s="9">
        <v>1564.5</v>
      </c>
      <c r="AH3" s="9">
        <v>512.0454545454545</v>
      </c>
      <c r="AI3" s="9">
        <v>7769.636363636364</v>
      </c>
      <c r="AJ3" s="9">
        <v>4039</v>
      </c>
      <c r="AK3" s="9">
        <v>1363.909090909091</v>
      </c>
      <c r="AL3" s="9">
        <v>386.45454545454544</v>
      </c>
      <c r="AM3" s="9">
        <v>105</v>
      </c>
      <c r="AN3" s="9">
        <v>952.9090909090909</v>
      </c>
      <c r="AO3" s="9">
        <v>1295.181818181818</v>
      </c>
      <c r="AP3" s="9">
        <v>11415.909090909092</v>
      </c>
      <c r="AQ3" s="9">
        <v>12427.954545454546</v>
      </c>
      <c r="AR3" s="9">
        <v>760.3181818181819</v>
      </c>
      <c r="AS3" s="9">
        <v>103</v>
      </c>
      <c r="AT3" s="9">
        <v>94</v>
      </c>
      <c r="AU3" s="9">
        <v>278.72727272727275</v>
      </c>
      <c r="AV3" s="9">
        <v>13664</v>
      </c>
      <c r="AW3" s="9">
        <v>9927.954545454544</v>
      </c>
      <c r="AX3" s="9">
        <v>2758.727272727273</v>
      </c>
      <c r="AY3" s="9">
        <v>88.5909090909091</v>
      </c>
      <c r="AZ3" s="9">
        <v>330</v>
      </c>
      <c r="BA3" s="9">
        <v>387.8636363636364</v>
      </c>
      <c r="BB3" s="9">
        <v>76.86363636363637</v>
      </c>
      <c r="BC3" s="9">
        <v>13664</v>
      </c>
      <c r="BD3" s="9">
        <v>7595.318181818182</v>
      </c>
      <c r="BE3" s="9">
        <v>1713.8181818181818</v>
      </c>
      <c r="BF3" s="9">
        <v>1865.5</v>
      </c>
      <c r="BG3" s="9">
        <v>415.59090909090907</v>
      </c>
      <c r="BH3" s="9">
        <v>817.4545454545455</v>
      </c>
      <c r="BI3" s="9">
        <v>533.4545454545455</v>
      </c>
      <c r="BJ3" s="9">
        <v>672.8636363636364</v>
      </c>
      <c r="BK3" s="9">
        <v>50</v>
      </c>
      <c r="BL3" s="9">
        <v>13664</v>
      </c>
      <c r="BM3" s="9">
        <v>4958.272727272728</v>
      </c>
      <c r="BN3" s="9">
        <v>1066.181818181818</v>
      </c>
      <c r="BO3" s="9">
        <v>1083.090909090909</v>
      </c>
      <c r="BP3" s="9">
        <v>24</v>
      </c>
      <c r="BQ3" s="9">
        <v>5398.409090909091</v>
      </c>
      <c r="BR3" s="9">
        <v>1016.0454545454545</v>
      </c>
      <c r="BS3" s="9">
        <v>13664</v>
      </c>
      <c r="BT3" s="9">
        <v>9437.818181818182</v>
      </c>
      <c r="BU3" s="9">
        <v>2958.1363636363635</v>
      </c>
      <c r="BV3" s="9">
        <v>91.72727272727273</v>
      </c>
      <c r="BW3" s="9">
        <v>86</v>
      </c>
      <c r="BX3" s="9">
        <v>49.72727272727273</v>
      </c>
      <c r="BY3" s="9">
        <v>627.7272727272727</v>
      </c>
      <c r="BZ3" s="9">
        <v>1079.318181818182</v>
      </c>
      <c r="CA3" s="9">
        <v>233</v>
      </c>
      <c r="CB3" s="9">
        <v>294</v>
      </c>
      <c r="CC3" s="9">
        <v>163.86363636363637</v>
      </c>
      <c r="CD3" s="9">
        <v>388.4545454545455</v>
      </c>
      <c r="CE3" s="9">
        <v>13272.545454545454</v>
      </c>
      <c r="CF3" s="9">
        <v>13111.681818181818</v>
      </c>
      <c r="CG3" s="9">
        <v>139.86363636363637</v>
      </c>
      <c r="CH3" s="9">
        <v>21</v>
      </c>
      <c r="CI3" s="9">
        <v>338.4545454545455</v>
      </c>
      <c r="CJ3" s="9">
        <v>12729.363636363636</v>
      </c>
      <c r="CK3" s="9">
        <v>3303.409090909091</v>
      </c>
      <c r="CL3" s="9">
        <v>985.5909090909091</v>
      </c>
      <c r="CM3" s="9">
        <v>10138.136363636364</v>
      </c>
      <c r="CN3" s="9">
        <v>1488.909090909091</v>
      </c>
      <c r="CO3" s="9">
        <v>4111.454545454546</v>
      </c>
      <c r="CP3" s="9">
        <v>1416.4545454545455</v>
      </c>
      <c r="CQ3" s="9">
        <v>328.8636363636364</v>
      </c>
      <c r="CR3" s="9">
        <v>157.63636363636363</v>
      </c>
      <c r="CS3" s="9">
        <v>26</v>
      </c>
      <c r="CT3" s="9">
        <v>10138.136363636364</v>
      </c>
      <c r="CU3" s="9">
        <v>2608.818181818182</v>
      </c>
      <c r="CV3" s="9">
        <v>1652.4545454545455</v>
      </c>
      <c r="CW3" s="9">
        <v>255.45454545454547</v>
      </c>
      <c r="CX3" s="9">
        <v>303.4545454545455</v>
      </c>
      <c r="CY3" s="9">
        <v>264.4545454545455</v>
      </c>
      <c r="CZ3" s="9">
        <v>133</v>
      </c>
      <c r="DA3" s="9">
        <v>328.8636363636364</v>
      </c>
      <c r="DB3" s="9">
        <v>95</v>
      </c>
      <c r="DC3" s="9">
        <v>71.86363636363637</v>
      </c>
      <c r="DD3" s="9">
        <v>30</v>
      </c>
      <c r="DE3" s="9">
        <v>7174.454545454545</v>
      </c>
      <c r="DF3" s="9">
        <v>492.1818181818182</v>
      </c>
      <c r="DG3" s="9">
        <v>1472.318181818182</v>
      </c>
      <c r="DH3" s="9">
        <v>1058.0454545454545</v>
      </c>
      <c r="DI3" s="9">
        <v>2926</v>
      </c>
      <c r="DJ3" s="9">
        <v>1225.909090909091</v>
      </c>
      <c r="DK3" s="9">
        <v>7174.454545454545</v>
      </c>
      <c r="DL3" s="9">
        <v>283.8636363636364</v>
      </c>
      <c r="DM3" s="9">
        <v>60</v>
      </c>
      <c r="DN3" s="9">
        <v>339</v>
      </c>
      <c r="DO3" s="9">
        <v>27.31818181818182</v>
      </c>
      <c r="DP3" s="9">
        <v>50</v>
      </c>
      <c r="DQ3" s="9">
        <v>644.1818181818182</v>
      </c>
      <c r="DR3" s="9">
        <v>848.4545454545455</v>
      </c>
      <c r="DS3" s="9">
        <v>233</v>
      </c>
      <c r="DT3" s="9">
        <v>1286.181818181818</v>
      </c>
      <c r="DU3" s="9">
        <v>112.5909090909091</v>
      </c>
      <c r="DV3" s="9">
        <v>113</v>
      </c>
      <c r="DW3" s="9">
        <v>197.5909090909091</v>
      </c>
      <c r="DX3" s="9">
        <v>251.86363636363637</v>
      </c>
      <c r="DY3" s="9">
        <v>283.72727272727275</v>
      </c>
      <c r="DZ3" s="9">
        <v>339.8636363636364</v>
      </c>
      <c r="EA3" s="9">
        <v>579.4545454545455</v>
      </c>
      <c r="EB3" s="9">
        <v>843.4545454545455</v>
      </c>
      <c r="EC3" s="9">
        <v>680.909090909091</v>
      </c>
      <c r="ED3" s="9">
        <v>7174.454545454545</v>
      </c>
      <c r="EE3" s="9">
        <v>897.7727272727273</v>
      </c>
      <c r="EF3" s="9">
        <v>890.4545454545455</v>
      </c>
      <c r="EG3" s="9">
        <v>787.9090909090909</v>
      </c>
      <c r="EH3" s="9">
        <v>603.7272727272727</v>
      </c>
      <c r="EI3" s="9">
        <v>1291.3636363636365</v>
      </c>
      <c r="EJ3" s="9">
        <v>751.590909090909</v>
      </c>
      <c r="EK3" s="9">
        <v>510.59090909090907</v>
      </c>
      <c r="EL3" s="9">
        <v>488.8636363636364</v>
      </c>
      <c r="EM3" s="9">
        <v>952.1818181818181</v>
      </c>
      <c r="EN3" s="9">
        <v>11303.590909090908</v>
      </c>
      <c r="EO3" s="9">
        <v>2596.5</v>
      </c>
      <c r="EP3" s="9">
        <v>2597.4545454545455</v>
      </c>
      <c r="EQ3" s="9">
        <v>1574.0454545454545</v>
      </c>
      <c r="ER3" s="9">
        <v>1026.318181818182</v>
      </c>
      <c r="ES3" s="9">
        <v>3509.2727272727275</v>
      </c>
      <c r="ET3" s="9">
        <v>7185.318181818182</v>
      </c>
      <c r="EU3" s="9">
        <v>5981.227272727273</v>
      </c>
      <c r="EV3" s="9">
        <v>1204.090909090909</v>
      </c>
      <c r="EW3" s="9">
        <v>1064.2272727272727</v>
      </c>
      <c r="EX3" s="9">
        <v>139.86363636363637</v>
      </c>
      <c r="EY3" s="9">
        <v>5977.227272727273</v>
      </c>
      <c r="EZ3" s="9">
        <v>2864.272727272727</v>
      </c>
      <c r="FA3" s="9">
        <v>1640.3636363636363</v>
      </c>
      <c r="FB3" s="9">
        <v>742</v>
      </c>
      <c r="FC3" s="9">
        <v>712.7272727272727</v>
      </c>
      <c r="FD3" s="9">
        <v>17.863636363636363</v>
      </c>
      <c r="FE3" s="9">
        <v>849.8636363636364</v>
      </c>
      <c r="FF3" s="9">
        <v>1058.318181818182</v>
      </c>
      <c r="FG3" s="9">
        <v>554.8636363636364</v>
      </c>
      <c r="FH3" s="9">
        <v>976.1818181818181</v>
      </c>
      <c r="FI3" s="9">
        <v>823.1818181818181</v>
      </c>
      <c r="FJ3" s="9">
        <v>292.72727272727275</v>
      </c>
      <c r="FK3" s="9">
        <v>355.8636363636364</v>
      </c>
      <c r="FL3" s="9">
        <v>255.45454545454547</v>
      </c>
      <c r="FM3" s="9">
        <v>32</v>
      </c>
      <c r="FN3" s="9">
        <v>333.72727272727275</v>
      </c>
      <c r="FO3" s="9">
        <v>171.86363636363637</v>
      </c>
      <c r="FP3" s="9">
        <v>81</v>
      </c>
      <c r="FQ3" s="9">
        <v>3.4545454545454546</v>
      </c>
      <c r="FR3" s="9">
        <v>14</v>
      </c>
      <c r="FS3" s="9">
        <v>178.72727272727275</v>
      </c>
      <c r="FT3" s="9">
        <v>5981.227272727273</v>
      </c>
      <c r="FU3" s="9">
        <v>134.5909090909091</v>
      </c>
      <c r="FV3" s="9">
        <v>1493.3636363636365</v>
      </c>
      <c r="FW3" s="9">
        <v>532.4545454545455</v>
      </c>
      <c r="FX3" s="9">
        <v>302.3181818181818</v>
      </c>
      <c r="FY3" s="9">
        <v>332.72727272727275</v>
      </c>
      <c r="FZ3" s="9">
        <v>135</v>
      </c>
      <c r="GA3" s="9">
        <v>104.86363636363636</v>
      </c>
      <c r="GB3" s="9">
        <v>92.86363636363637</v>
      </c>
      <c r="GC3" s="9">
        <v>350</v>
      </c>
      <c r="GD3" s="9">
        <v>499.8636363636364</v>
      </c>
      <c r="GE3" s="9">
        <v>585.590909090909</v>
      </c>
      <c r="GF3" s="9">
        <v>1770.4545454545455</v>
      </c>
      <c r="GG3" s="9">
        <v>1290.8636363636365</v>
      </c>
      <c r="GH3" s="9">
        <v>9</v>
      </c>
      <c r="GI3" s="9">
        <v>150</v>
      </c>
      <c r="GJ3" s="9">
        <v>149</v>
      </c>
      <c r="GK3" s="9">
        <v>113.5909090909091</v>
      </c>
      <c r="GL3" s="9">
        <v>58</v>
      </c>
      <c r="GM3" s="9">
        <v>9171.863636363636</v>
      </c>
      <c r="GN3" s="9">
        <v>1764.8636363636363</v>
      </c>
      <c r="GO3" s="9">
        <v>2</v>
      </c>
      <c r="GP3" s="9">
        <v>80</v>
      </c>
      <c r="GQ3" s="9">
        <v>761.7727272727273</v>
      </c>
      <c r="GR3" s="9">
        <v>31.863636363636363</v>
      </c>
      <c r="GS3" s="9">
        <v>3566.8636363636365</v>
      </c>
      <c r="GT3" s="9">
        <v>731.909090909091</v>
      </c>
      <c r="GU3" s="9">
        <v>16</v>
      </c>
      <c r="GV3" s="9">
        <v>232.72727272727272</v>
      </c>
      <c r="GW3" s="9">
        <v>1875.8636363636363</v>
      </c>
      <c r="GX3" s="9">
        <v>108</v>
      </c>
    </row>
    <row r="4" spans="1:206" ht="12.75">
      <c r="A4" s="5" t="s">
        <v>332</v>
      </c>
      <c r="B4" s="9">
        <v>283.54085581</v>
      </c>
      <c r="C4" s="9">
        <v>10249.313180897332</v>
      </c>
      <c r="D4" s="9">
        <v>413.1139728278578</v>
      </c>
      <c r="E4" s="9">
        <v>1333.8064870301896</v>
      </c>
      <c r="F4" s="9">
        <v>1225.2665115389518</v>
      </c>
      <c r="G4" s="9">
        <v>1659.4051347981922</v>
      </c>
      <c r="H4" s="9">
        <v>2610.3235794126394</v>
      </c>
      <c r="I4" s="9">
        <v>2121.1296945613212</v>
      </c>
      <c r="J4" s="9">
        <v>886.2678007281794</v>
      </c>
      <c r="K4" s="9">
        <v>1746.9204598580475</v>
      </c>
      <c r="L4" s="9">
        <v>6382.702891467267</v>
      </c>
      <c r="M4" s="9">
        <v>2119.6898295720175</v>
      </c>
      <c r="N4" s="9">
        <v>4936.494814909262</v>
      </c>
      <c r="O4" s="9">
        <v>5312.8183659880715</v>
      </c>
      <c r="P4" s="9">
        <v>10182.313180897332</v>
      </c>
      <c r="Q4" s="9">
        <v>67</v>
      </c>
      <c r="R4" s="9">
        <v>4264.815359060451</v>
      </c>
      <c r="S4" s="9">
        <v>1090.0632481901766</v>
      </c>
      <c r="T4" s="9">
        <v>1660.5157606924788</v>
      </c>
      <c r="U4" s="9">
        <v>654.0758425772451</v>
      </c>
      <c r="V4" s="9">
        <v>578.6924185756584</v>
      </c>
      <c r="W4" s="9">
        <v>207.56558573108362</v>
      </c>
      <c r="X4" s="9">
        <v>73.90250329380764</v>
      </c>
      <c r="Y4" s="9">
        <v>3347.416801252355</v>
      </c>
      <c r="Z4" s="9">
        <v>330.6766968421947</v>
      </c>
      <c r="AA4" s="9">
        <v>60</v>
      </c>
      <c r="AB4" s="9">
        <v>387.1486994772409</v>
      </c>
      <c r="AC4" s="9">
        <v>99.64891906441697</v>
      </c>
      <c r="AD4" s="9">
        <v>6570.330928499582</v>
      </c>
      <c r="AE4" s="9">
        <v>462.25589697819714</v>
      </c>
      <c r="AF4" s="9">
        <v>1745.3753736523722</v>
      </c>
      <c r="AG4" s="9">
        <v>1534.707750718971</v>
      </c>
      <c r="AH4" s="9">
        <v>522.47633771091</v>
      </c>
      <c r="AI4" s="9">
        <v>5768.035856460821</v>
      </c>
      <c r="AJ4" s="9">
        <v>3061.8623011319364</v>
      </c>
      <c r="AK4" s="9">
        <v>1086.3466466913171</v>
      </c>
      <c r="AL4" s="9">
        <v>284.21989176477257</v>
      </c>
      <c r="AM4" s="9">
        <v>48.848484848484844</v>
      </c>
      <c r="AN4" s="9">
        <v>643.2911796789776</v>
      </c>
      <c r="AO4" s="9">
        <v>1074.703837108816</v>
      </c>
      <c r="AP4" s="9">
        <v>8531.31816410954</v>
      </c>
      <c r="AQ4" s="9">
        <v>9240.24102525961</v>
      </c>
      <c r="AR4" s="9">
        <v>673.8102518877413</v>
      </c>
      <c r="AS4" s="9">
        <v>95.44338546757902</v>
      </c>
      <c r="AT4" s="9">
        <v>56.67065819485174</v>
      </c>
      <c r="AU4" s="9">
        <v>183.14786008755152</v>
      </c>
      <c r="AV4" s="9">
        <v>10249.313180897332</v>
      </c>
      <c r="AW4" s="9">
        <v>8002.135191324182</v>
      </c>
      <c r="AX4" s="9">
        <v>1878.210959525125</v>
      </c>
      <c r="AY4" s="9">
        <v>61.67065819485174</v>
      </c>
      <c r="AZ4" s="9">
        <v>24</v>
      </c>
      <c r="BA4" s="9">
        <v>181.2963718531741</v>
      </c>
      <c r="BB4" s="9">
        <v>45</v>
      </c>
      <c r="BC4" s="9">
        <v>10249.313180897332</v>
      </c>
      <c r="BD4" s="9">
        <v>5708.795822885234</v>
      </c>
      <c r="BE4" s="9">
        <v>1264.8232394066895</v>
      </c>
      <c r="BF4" s="9">
        <v>1899.8694837576322</v>
      </c>
      <c r="BG4" s="9">
        <v>257.54384660064886</v>
      </c>
      <c r="BH4" s="9">
        <v>516.7547990423166</v>
      </c>
      <c r="BI4" s="9">
        <v>370.4554238032499</v>
      </c>
      <c r="BJ4" s="9">
        <v>202.07056540156123</v>
      </c>
      <c r="BK4" s="9">
        <v>29</v>
      </c>
      <c r="BL4" s="9">
        <v>10249.313180897332</v>
      </c>
      <c r="BM4" s="9">
        <v>3923.7948807854136</v>
      </c>
      <c r="BN4" s="9">
        <v>462.91463371442336</v>
      </c>
      <c r="BO4" s="9">
        <v>1291.216778585292</v>
      </c>
      <c r="BP4" s="9">
        <v>14</v>
      </c>
      <c r="BQ4" s="9">
        <v>3618.566024905436</v>
      </c>
      <c r="BR4" s="9">
        <v>855.3159540708629</v>
      </c>
      <c r="BS4" s="9">
        <v>10249.313180897332</v>
      </c>
      <c r="BT4" s="9">
        <v>7661.552141329141</v>
      </c>
      <c r="BU4" s="9">
        <v>1985.7804340742628</v>
      </c>
      <c r="BV4" s="9">
        <v>79.92874396135267</v>
      </c>
      <c r="BW4" s="9">
        <v>63</v>
      </c>
      <c r="BX4" s="9">
        <v>28</v>
      </c>
      <c r="BY4" s="9">
        <v>185.52217830478702</v>
      </c>
      <c r="BZ4" s="9">
        <v>458.0518615325768</v>
      </c>
      <c r="CA4" s="9">
        <v>31.669191919191917</v>
      </c>
      <c r="CB4" s="9">
        <v>47.95652173913044</v>
      </c>
      <c r="CC4" s="9">
        <v>79</v>
      </c>
      <c r="CD4" s="9">
        <v>299.4261478742545</v>
      </c>
      <c r="CE4" s="9">
        <v>10008.842088486548</v>
      </c>
      <c r="CF4" s="9">
        <v>9950.14061725247</v>
      </c>
      <c r="CG4" s="9">
        <v>51.70147123407993</v>
      </c>
      <c r="CH4" s="9">
        <v>7</v>
      </c>
      <c r="CI4" s="9">
        <v>307.04349951124146</v>
      </c>
      <c r="CJ4" s="9">
        <v>9547.322924192838</v>
      </c>
      <c r="CK4" s="9">
        <v>1923.4144814200915</v>
      </c>
      <c r="CL4" s="9">
        <v>451.1471375749075</v>
      </c>
      <c r="CM4" s="9">
        <v>7616.124920311105</v>
      </c>
      <c r="CN4" s="9">
        <v>1109.7938288920056</v>
      </c>
      <c r="CO4" s="9">
        <v>2805.3985648915523</v>
      </c>
      <c r="CP4" s="9">
        <v>1100.1712532052643</v>
      </c>
      <c r="CQ4" s="9">
        <v>218.52060931899643</v>
      </c>
      <c r="CR4" s="9">
        <v>152.22811920041934</v>
      </c>
      <c r="CS4" s="9">
        <v>17.774193548387096</v>
      </c>
      <c r="CT4" s="9">
        <v>7616.124920311105</v>
      </c>
      <c r="CU4" s="9">
        <v>2212.23835125448</v>
      </c>
      <c r="CV4" s="9">
        <v>1414.6073922960318</v>
      </c>
      <c r="CW4" s="9">
        <v>303.88823721081786</v>
      </c>
      <c r="CX4" s="9">
        <v>243.42314448836188</v>
      </c>
      <c r="CY4" s="9">
        <v>164.59490061909418</v>
      </c>
      <c r="CZ4" s="9">
        <v>85.72467664017454</v>
      </c>
      <c r="DA4" s="9">
        <v>218.52060931899643</v>
      </c>
      <c r="DB4" s="9">
        <v>59.74641577060932</v>
      </c>
      <c r="DC4" s="9">
        <v>60</v>
      </c>
      <c r="DD4" s="9">
        <v>13.774193548387096</v>
      </c>
      <c r="DE4" s="9">
        <v>5167.591766189242</v>
      </c>
      <c r="DF4" s="9">
        <v>444.8410330514117</v>
      </c>
      <c r="DG4" s="9">
        <v>1127.9131674387636</v>
      </c>
      <c r="DH4" s="9">
        <v>849.6963321858133</v>
      </c>
      <c r="DI4" s="9">
        <v>1848.2896602773883</v>
      </c>
      <c r="DJ4" s="9">
        <v>896.8515732358649</v>
      </c>
      <c r="DK4" s="9">
        <v>5167.591766189242</v>
      </c>
      <c r="DL4" s="9">
        <v>324.0472891608937</v>
      </c>
      <c r="DM4" s="9">
        <v>54.49740391290181</v>
      </c>
      <c r="DN4" s="9">
        <v>304.47340515959024</v>
      </c>
      <c r="DO4" s="9">
        <v>43.54692082111437</v>
      </c>
      <c r="DP4" s="9">
        <v>38.92874396135265</v>
      </c>
      <c r="DQ4" s="9">
        <v>505.4808392480202</v>
      </c>
      <c r="DR4" s="9">
        <v>677.8927918738577</v>
      </c>
      <c r="DS4" s="9">
        <v>196.84848484848484</v>
      </c>
      <c r="DT4" s="9">
        <v>295.7473330783289</v>
      </c>
      <c r="DU4" s="9">
        <v>117.19283649963876</v>
      </c>
      <c r="DV4" s="9">
        <v>51.71863799283154</v>
      </c>
      <c r="DW4" s="9">
        <v>58.49887018856163</v>
      </c>
      <c r="DX4" s="9">
        <v>313.2837066315327</v>
      </c>
      <c r="DY4" s="9">
        <v>188.42311261280406</v>
      </c>
      <c r="DZ4" s="9">
        <v>389.2385566747418</v>
      </c>
      <c r="EA4" s="9">
        <v>475.2160419057334</v>
      </c>
      <c r="EB4" s="9">
        <v>895.9978962131838</v>
      </c>
      <c r="EC4" s="9">
        <v>236.5588954056696</v>
      </c>
      <c r="ED4" s="9">
        <v>5167.591766189242</v>
      </c>
      <c r="EE4" s="9">
        <v>574.9971205746101</v>
      </c>
      <c r="EF4" s="9">
        <v>1087.274685848669</v>
      </c>
      <c r="EG4" s="9">
        <v>580.3481625511779</v>
      </c>
      <c r="EH4" s="9">
        <v>537.3639551192146</v>
      </c>
      <c r="EI4" s="9">
        <v>887.4928457081332</v>
      </c>
      <c r="EJ4" s="9">
        <v>408.5229220678029</v>
      </c>
      <c r="EK4" s="9">
        <v>334.6031811806706</v>
      </c>
      <c r="EL4" s="9">
        <v>332.23559224786436</v>
      </c>
      <c r="EM4" s="9">
        <v>424.7533008910989</v>
      </c>
      <c r="EN4" s="9">
        <v>8502.392721039285</v>
      </c>
      <c r="EO4" s="9">
        <v>1718.923271990593</v>
      </c>
      <c r="EP4" s="9">
        <v>1785.1539341521811</v>
      </c>
      <c r="EQ4" s="9">
        <v>1249.5364798050632</v>
      </c>
      <c r="ER4" s="9">
        <v>751.3617061215239</v>
      </c>
      <c r="ES4" s="9">
        <v>2997.417328969924</v>
      </c>
      <c r="ET4" s="9">
        <v>4507.011198945982</v>
      </c>
      <c r="EU4" s="9">
        <v>4264.815359060451</v>
      </c>
      <c r="EV4" s="9">
        <v>242.19583988553134</v>
      </c>
      <c r="EW4" s="9">
        <v>105.84848484848484</v>
      </c>
      <c r="EX4" s="9">
        <v>136.3473550370465</v>
      </c>
      <c r="EY4" s="9">
        <v>4264.815359060451</v>
      </c>
      <c r="EZ4" s="9">
        <v>2717.691380849165</v>
      </c>
      <c r="FA4" s="9">
        <v>938.4053402184538</v>
      </c>
      <c r="FB4" s="9">
        <v>450</v>
      </c>
      <c r="FC4" s="9">
        <v>140.7741935483871</v>
      </c>
      <c r="FD4" s="9">
        <v>17.944444444444443</v>
      </c>
      <c r="FE4" s="9">
        <v>584.5643461260572</v>
      </c>
      <c r="FF4" s="9">
        <v>505.4989020641195</v>
      </c>
      <c r="FG4" s="9">
        <v>452.73829104509326</v>
      </c>
      <c r="FH4" s="9">
        <v>817.3842598495473</v>
      </c>
      <c r="FI4" s="9">
        <v>746.5182788615468</v>
      </c>
      <c r="FJ4" s="9">
        <v>317.4719388839304</v>
      </c>
      <c r="FK4" s="9">
        <v>173.80346947738252</v>
      </c>
      <c r="FL4" s="9">
        <v>150.97826086956522</v>
      </c>
      <c r="FM4" s="9">
        <v>19.472629521016618</v>
      </c>
      <c r="FN4" s="9">
        <v>172.91304347826087</v>
      </c>
      <c r="FO4" s="9">
        <v>116.75245441795232</v>
      </c>
      <c r="FP4" s="9">
        <v>78.34735503704647</v>
      </c>
      <c r="FQ4" s="9">
        <v>0</v>
      </c>
      <c r="FR4" s="9">
        <v>19.746415770609318</v>
      </c>
      <c r="FS4" s="9">
        <v>108.62571365832235</v>
      </c>
      <c r="FT4" s="9">
        <v>4264.815359060451</v>
      </c>
      <c r="FU4" s="9">
        <v>66.97222222222223</v>
      </c>
      <c r="FV4" s="9">
        <v>1148.7569382464194</v>
      </c>
      <c r="FW4" s="9">
        <v>325.3675570572485</v>
      </c>
      <c r="FX4" s="9">
        <v>226.4170739654611</v>
      </c>
      <c r="FY4" s="9">
        <v>172.91304347826087</v>
      </c>
      <c r="FZ4" s="9">
        <v>76.95652173913044</v>
      </c>
      <c r="GA4" s="9">
        <v>52.95652173913044</v>
      </c>
      <c r="GB4" s="9">
        <v>43</v>
      </c>
      <c r="GC4" s="9">
        <v>244.084108971907</v>
      </c>
      <c r="GD4" s="9">
        <v>340.4802371541502</v>
      </c>
      <c r="GE4" s="9">
        <v>491.7875635740292</v>
      </c>
      <c r="GF4" s="9">
        <v>1369.4916769376796</v>
      </c>
      <c r="GG4" s="9">
        <v>1121.8801974867893</v>
      </c>
      <c r="GH4" s="9">
        <v>7</v>
      </c>
      <c r="GI4" s="9">
        <v>124</v>
      </c>
      <c r="GJ4" s="9">
        <v>8</v>
      </c>
      <c r="GK4" s="9">
        <v>61.91304347826087</v>
      </c>
      <c r="GL4" s="9">
        <v>46.69843597262952</v>
      </c>
      <c r="GM4" s="9">
        <v>6830.834877527023</v>
      </c>
      <c r="GN4" s="9">
        <v>1017.3639551192146</v>
      </c>
      <c r="GO4" s="9">
        <v>2</v>
      </c>
      <c r="GP4" s="9">
        <v>75.09530791788856</v>
      </c>
      <c r="GQ4" s="9">
        <v>1000.6429335430038</v>
      </c>
      <c r="GR4" s="9">
        <v>25</v>
      </c>
      <c r="GS4" s="9">
        <v>3305.2117989148146</v>
      </c>
      <c r="GT4" s="9">
        <v>526.1374367801436</v>
      </c>
      <c r="GU4" s="9">
        <v>14</v>
      </c>
      <c r="GV4" s="9">
        <v>101.92424242424242</v>
      </c>
      <c r="GW4" s="9">
        <v>663.838061541077</v>
      </c>
      <c r="GX4" s="9">
        <v>99.62114128663919</v>
      </c>
    </row>
    <row r="5" spans="1:206" ht="12.75">
      <c r="A5" s="5" t="s">
        <v>333</v>
      </c>
      <c r="B5" s="9">
        <v>2064.95167463</v>
      </c>
      <c r="C5" s="9">
        <v>8724.041093445074</v>
      </c>
      <c r="D5" s="9">
        <v>482.90166800400215</v>
      </c>
      <c r="E5" s="9">
        <v>1135.593058634729</v>
      </c>
      <c r="F5" s="9">
        <v>1126.7812107343457</v>
      </c>
      <c r="G5" s="9">
        <v>1667.5164052423547</v>
      </c>
      <c r="H5" s="9">
        <v>2025.9736634075307</v>
      </c>
      <c r="I5" s="9">
        <v>1575.6880295600663</v>
      </c>
      <c r="J5" s="9">
        <v>709.5870578620464</v>
      </c>
      <c r="K5" s="9">
        <v>1618.494726638731</v>
      </c>
      <c r="L5" s="9">
        <v>5495.441685637018</v>
      </c>
      <c r="M5" s="9">
        <v>1610.1046811693263</v>
      </c>
      <c r="N5" s="9">
        <v>4209.034446590786</v>
      </c>
      <c r="O5" s="9">
        <v>4515.00664685429</v>
      </c>
      <c r="P5" s="9">
        <v>8602.294253618235</v>
      </c>
      <c r="Q5" s="9">
        <v>121.74683982683982</v>
      </c>
      <c r="R5" s="9">
        <v>3694.134389729264</v>
      </c>
      <c r="S5" s="9">
        <v>1067.387696712136</v>
      </c>
      <c r="T5" s="9">
        <v>1345.5061052829703</v>
      </c>
      <c r="U5" s="9">
        <v>582.9333146106372</v>
      </c>
      <c r="V5" s="9">
        <v>468.0076773950687</v>
      </c>
      <c r="W5" s="9">
        <v>183.7776909665468</v>
      </c>
      <c r="X5" s="9">
        <v>46.521904761904764</v>
      </c>
      <c r="Y5" s="9">
        <v>2427.6124015572527</v>
      </c>
      <c r="Z5" s="9">
        <v>524.2446320346321</v>
      </c>
      <c r="AA5" s="9">
        <v>291.0573822897164</v>
      </c>
      <c r="AB5" s="9">
        <v>263.18521937254206</v>
      </c>
      <c r="AC5" s="9">
        <v>99.10988637601909</v>
      </c>
      <c r="AD5" s="9">
        <v>4549.163808335067</v>
      </c>
      <c r="AE5" s="9">
        <v>733.023784362091</v>
      </c>
      <c r="AF5" s="9">
        <v>1727.6431694849773</v>
      </c>
      <c r="AG5" s="9">
        <v>978.6705387975869</v>
      </c>
      <c r="AH5" s="9">
        <v>254.79689708460876</v>
      </c>
      <c r="AI5" s="9">
        <v>4907.975112881018</v>
      </c>
      <c r="AJ5" s="9">
        <v>2431.5520662327754</v>
      </c>
      <c r="AK5" s="9">
        <v>1005.4974332075248</v>
      </c>
      <c r="AL5" s="9">
        <v>291.84539659425246</v>
      </c>
      <c r="AM5" s="9">
        <v>87.17108452950558</v>
      </c>
      <c r="AN5" s="9">
        <v>699.9924498994521</v>
      </c>
      <c r="AO5" s="9">
        <v>872.4507809048313</v>
      </c>
      <c r="AP5" s="9">
        <v>7151.597862640791</v>
      </c>
      <c r="AQ5" s="9">
        <v>7952.353607833815</v>
      </c>
      <c r="AR5" s="9">
        <v>434.42142233052994</v>
      </c>
      <c r="AS5" s="9">
        <v>80.85838360723945</v>
      </c>
      <c r="AT5" s="9">
        <v>61.532938076416336</v>
      </c>
      <c r="AU5" s="9">
        <v>194.8747415970757</v>
      </c>
      <c r="AV5" s="9">
        <v>8724.041093445074</v>
      </c>
      <c r="AW5" s="9">
        <v>7045.436530357514</v>
      </c>
      <c r="AX5" s="9">
        <v>1299.360745242553</v>
      </c>
      <c r="AY5" s="9">
        <v>53.78666666666666</v>
      </c>
      <c r="AZ5" s="9">
        <v>42.53619047619048</v>
      </c>
      <c r="BA5" s="9">
        <v>196.60572597501658</v>
      </c>
      <c r="BB5" s="9">
        <v>44.37320574162679</v>
      </c>
      <c r="BC5" s="9">
        <v>8724.041093445074</v>
      </c>
      <c r="BD5" s="9">
        <v>5660.483864701278</v>
      </c>
      <c r="BE5" s="9">
        <v>859.222944218253</v>
      </c>
      <c r="BF5" s="9">
        <v>1108.93293668955</v>
      </c>
      <c r="BG5" s="9">
        <v>217.94495240076475</v>
      </c>
      <c r="BH5" s="9">
        <v>380.81511099884096</v>
      </c>
      <c r="BI5" s="9">
        <v>253.66334274421231</v>
      </c>
      <c r="BJ5" s="9">
        <v>224.08460835884176</v>
      </c>
      <c r="BK5" s="9">
        <v>18.893333333333334</v>
      </c>
      <c r="BL5" s="9">
        <v>8724.041093445074</v>
      </c>
      <c r="BM5" s="9">
        <v>2928.140706806542</v>
      </c>
      <c r="BN5" s="9">
        <v>1804.4905230467473</v>
      </c>
      <c r="BO5" s="9">
        <v>672.8294460459448</v>
      </c>
      <c r="BP5" s="9">
        <v>12</v>
      </c>
      <c r="BQ5" s="9">
        <v>2576.857142559957</v>
      </c>
      <c r="BR5" s="9">
        <v>670.5734537925841</v>
      </c>
      <c r="BS5" s="9">
        <v>8724.041093445074</v>
      </c>
      <c r="BT5" s="9">
        <v>6814.600759111217</v>
      </c>
      <c r="BU5" s="9">
        <v>1375.9830200996564</v>
      </c>
      <c r="BV5" s="9">
        <v>51.31363636363636</v>
      </c>
      <c r="BW5" s="9">
        <v>59.737575757575755</v>
      </c>
      <c r="BX5" s="9">
        <v>26.166060606060608</v>
      </c>
      <c r="BY5" s="9">
        <v>193.9160026548585</v>
      </c>
      <c r="BZ5" s="9">
        <v>422.40610211299</v>
      </c>
      <c r="CA5" s="9">
        <v>53.89333333333333</v>
      </c>
      <c r="CB5" s="9">
        <v>88.85838360723945</v>
      </c>
      <c r="CC5" s="9">
        <v>86.94102994640751</v>
      </c>
      <c r="CD5" s="9">
        <v>192.71335522600967</v>
      </c>
      <c r="CE5" s="9">
        <v>8450.743148384796</v>
      </c>
      <c r="CF5" s="9">
        <v>8371.065935887149</v>
      </c>
      <c r="CG5" s="9">
        <v>74.67721249764728</v>
      </c>
      <c r="CH5" s="9">
        <v>5</v>
      </c>
      <c r="CI5" s="9">
        <v>664.629602959969</v>
      </c>
      <c r="CJ5" s="9">
        <v>7528.702313689362</v>
      </c>
      <c r="CK5" s="9">
        <v>1548.0176977027547</v>
      </c>
      <c r="CL5" s="9">
        <v>604.2354381011819</v>
      </c>
      <c r="CM5" s="9">
        <v>6395.959308944297</v>
      </c>
      <c r="CN5" s="9">
        <v>1098.1529310430226</v>
      </c>
      <c r="CO5" s="9">
        <v>2458.7043525810577</v>
      </c>
      <c r="CP5" s="9">
        <v>828.3352627616472</v>
      </c>
      <c r="CQ5" s="9">
        <v>207.3135953520164</v>
      </c>
      <c r="CR5" s="9">
        <v>89.24055940245871</v>
      </c>
      <c r="CS5" s="9">
        <v>19</v>
      </c>
      <c r="CT5" s="9">
        <v>6395.959308944297</v>
      </c>
      <c r="CU5" s="9">
        <v>1695.2126078040953</v>
      </c>
      <c r="CV5" s="9">
        <v>1001.0327120171971</v>
      </c>
      <c r="CW5" s="9">
        <v>172.8059239997226</v>
      </c>
      <c r="CX5" s="9">
        <v>231.66092414831544</v>
      </c>
      <c r="CY5" s="9">
        <v>216.86877321762904</v>
      </c>
      <c r="CZ5" s="9">
        <v>72.84427442123093</v>
      </c>
      <c r="DA5" s="9">
        <v>207.3135953520164</v>
      </c>
      <c r="DB5" s="9">
        <v>55.89333333333333</v>
      </c>
      <c r="DC5" s="9">
        <v>57.57221007063112</v>
      </c>
      <c r="DD5" s="9">
        <v>12.893333333333334</v>
      </c>
      <c r="DE5" s="9">
        <v>4474.4331057881855</v>
      </c>
      <c r="DF5" s="9">
        <v>335.90615778576876</v>
      </c>
      <c r="DG5" s="9">
        <v>1043.0343505998198</v>
      </c>
      <c r="DH5" s="9">
        <v>722.5117959919562</v>
      </c>
      <c r="DI5" s="9">
        <v>1618.8559490623793</v>
      </c>
      <c r="DJ5" s="9">
        <v>754.1248523482619</v>
      </c>
      <c r="DK5" s="9">
        <v>4474.4331057881855</v>
      </c>
      <c r="DL5" s="9">
        <v>350.8004526137478</v>
      </c>
      <c r="DM5" s="9">
        <v>41.521904761904764</v>
      </c>
      <c r="DN5" s="9">
        <v>261.2289919462688</v>
      </c>
      <c r="DO5" s="9">
        <v>27.298701298701303</v>
      </c>
      <c r="DP5" s="9">
        <v>46.88405797101449</v>
      </c>
      <c r="DQ5" s="9">
        <v>403.0556337484026</v>
      </c>
      <c r="DR5" s="9">
        <v>638.0929497657186</v>
      </c>
      <c r="DS5" s="9">
        <v>357.7851805402835</v>
      </c>
      <c r="DT5" s="9">
        <v>591.4890612895877</v>
      </c>
      <c r="DU5" s="9">
        <v>41.351119894598156</v>
      </c>
      <c r="DV5" s="9">
        <v>37.51262939958592</v>
      </c>
      <c r="DW5" s="9">
        <v>79.16662040476686</v>
      </c>
      <c r="DX5" s="9">
        <v>106.53483947021705</v>
      </c>
      <c r="DY5" s="9">
        <v>126.92686508762023</v>
      </c>
      <c r="DZ5" s="9">
        <v>186.65614153961982</v>
      </c>
      <c r="EA5" s="9">
        <v>369.8795298522988</v>
      </c>
      <c r="EB5" s="9">
        <v>577.3464096010778</v>
      </c>
      <c r="EC5" s="9">
        <v>230.90201660277174</v>
      </c>
      <c r="ED5" s="9">
        <v>4474.4331057881855</v>
      </c>
      <c r="EE5" s="9">
        <v>513.8216541353383</v>
      </c>
      <c r="EF5" s="9">
        <v>523.3369144204385</v>
      </c>
      <c r="EG5" s="9">
        <v>381.84994016662205</v>
      </c>
      <c r="EH5" s="9">
        <v>385.7026170168504</v>
      </c>
      <c r="EI5" s="9">
        <v>794.0575108720418</v>
      </c>
      <c r="EJ5" s="9">
        <v>440.319831000426</v>
      </c>
      <c r="EK5" s="9">
        <v>351.9344987963981</v>
      </c>
      <c r="EL5" s="9">
        <v>470.44781855825335</v>
      </c>
      <c r="EM5" s="9">
        <v>612.9623208218173</v>
      </c>
      <c r="EN5" s="9">
        <v>7105.546366806344</v>
      </c>
      <c r="EO5" s="9">
        <v>2112.9840866989607</v>
      </c>
      <c r="EP5" s="9">
        <v>1775.869304189327</v>
      </c>
      <c r="EQ5" s="9">
        <v>968.1263036048621</v>
      </c>
      <c r="ER5" s="9">
        <v>552.5616593856182</v>
      </c>
      <c r="ES5" s="9">
        <v>1696.0050129275758</v>
      </c>
      <c r="ET5" s="9">
        <v>4100.967371690094</v>
      </c>
      <c r="EU5" s="9">
        <v>3694.134389729264</v>
      </c>
      <c r="EV5" s="9">
        <v>406.832981960831</v>
      </c>
      <c r="EW5" s="9">
        <v>322.50177766550763</v>
      </c>
      <c r="EX5" s="9">
        <v>84.33120429532329</v>
      </c>
      <c r="EY5" s="9">
        <v>3693.1923607437566</v>
      </c>
      <c r="EZ5" s="9">
        <v>1436.1077704141778</v>
      </c>
      <c r="FA5" s="9">
        <v>1074.1935679118747</v>
      </c>
      <c r="FB5" s="9">
        <v>966.4752667241225</v>
      </c>
      <c r="FC5" s="9">
        <v>182.51593450028233</v>
      </c>
      <c r="FD5" s="9">
        <v>33.89982119329946</v>
      </c>
      <c r="FE5" s="9">
        <v>519.6330841926952</v>
      </c>
      <c r="FF5" s="9">
        <v>547.7546125194408</v>
      </c>
      <c r="FG5" s="9">
        <v>323.21750879174215</v>
      </c>
      <c r="FH5" s="9">
        <v>562.9937031313461</v>
      </c>
      <c r="FI5" s="9">
        <v>573.779299929666</v>
      </c>
      <c r="FJ5" s="9">
        <v>236.2663034067382</v>
      </c>
      <c r="FK5" s="9">
        <v>178.49908080477874</v>
      </c>
      <c r="FL5" s="9">
        <v>153.7821155655938</v>
      </c>
      <c r="FM5" s="9">
        <v>25.257142857142856</v>
      </c>
      <c r="FN5" s="9">
        <v>212.01890308775893</v>
      </c>
      <c r="FO5" s="9">
        <v>151.75790513833994</v>
      </c>
      <c r="FP5" s="9">
        <v>63.76345755693582</v>
      </c>
      <c r="FQ5" s="9">
        <v>0.5454545454545454</v>
      </c>
      <c r="FR5" s="9">
        <v>10.032296650717702</v>
      </c>
      <c r="FS5" s="9">
        <v>134.83352155091285</v>
      </c>
      <c r="FT5" s="9">
        <v>3694.134389729264</v>
      </c>
      <c r="FU5" s="9">
        <v>80.81605495953322</v>
      </c>
      <c r="FV5" s="9">
        <v>1003.3437761399547</v>
      </c>
      <c r="FW5" s="9">
        <v>383.2669493892835</v>
      </c>
      <c r="FX5" s="9">
        <v>218.36482480905823</v>
      </c>
      <c r="FY5" s="9">
        <v>212.01890308775893</v>
      </c>
      <c r="FZ5" s="9">
        <v>92.59120875310806</v>
      </c>
      <c r="GA5" s="9">
        <v>57.700421607378125</v>
      </c>
      <c r="GB5" s="9">
        <v>61.72727272727273</v>
      </c>
      <c r="GC5" s="9">
        <v>216.4748714672056</v>
      </c>
      <c r="GD5" s="9">
        <v>303.1582127254896</v>
      </c>
      <c r="GE5" s="9">
        <v>364.53551180322347</v>
      </c>
      <c r="GF5" s="9">
        <v>1075.0709133505702</v>
      </c>
      <c r="GG5" s="9">
        <v>734.0211831951419</v>
      </c>
      <c r="GH5" s="9">
        <v>1</v>
      </c>
      <c r="GI5" s="9">
        <v>185</v>
      </c>
      <c r="GJ5" s="9">
        <v>81.63081686429513</v>
      </c>
      <c r="GK5" s="9">
        <v>38.423324318701894</v>
      </c>
      <c r="GL5" s="9">
        <v>34.99558897243108</v>
      </c>
      <c r="GM5" s="9">
        <v>5817.783392770463</v>
      </c>
      <c r="GN5" s="9">
        <v>1072.1498542799686</v>
      </c>
      <c r="GO5" s="9">
        <v>1</v>
      </c>
      <c r="GP5" s="9">
        <v>47.323981594301955</v>
      </c>
      <c r="GQ5" s="9">
        <v>712.5451436892628</v>
      </c>
      <c r="GR5" s="9">
        <v>28.727272727272727</v>
      </c>
      <c r="GS5" s="9">
        <v>2345.1633376920563</v>
      </c>
      <c r="GT5" s="9">
        <v>607.9209094871567</v>
      </c>
      <c r="GU5" s="9">
        <v>9</v>
      </c>
      <c r="GV5" s="9">
        <v>172.9522397891963</v>
      </c>
      <c r="GW5" s="9">
        <v>773.1823531159916</v>
      </c>
      <c r="GX5" s="9">
        <v>47.81830039525691</v>
      </c>
    </row>
    <row r="6" spans="1:206" ht="12.75">
      <c r="A6" s="5" t="s">
        <v>334</v>
      </c>
      <c r="B6" s="9">
        <v>424.590066669</v>
      </c>
      <c r="C6" s="9">
        <v>12832.198345588236</v>
      </c>
      <c r="D6" s="9">
        <v>854.9683823529413</v>
      </c>
      <c r="E6" s="9">
        <v>1742.4278704751132</v>
      </c>
      <c r="F6" s="9">
        <v>2049.177427413273</v>
      </c>
      <c r="G6" s="9">
        <v>2450.558564291101</v>
      </c>
      <c r="H6" s="9">
        <v>2650.0290064102564</v>
      </c>
      <c r="I6" s="9">
        <v>2244.533036387632</v>
      </c>
      <c r="J6" s="9">
        <v>840.5040582579186</v>
      </c>
      <c r="K6" s="9">
        <v>2597.3962528280545</v>
      </c>
      <c r="L6" s="9">
        <v>8081.688273001509</v>
      </c>
      <c r="M6" s="9">
        <v>2153.1138197586724</v>
      </c>
      <c r="N6" s="9">
        <v>6292.634101621417</v>
      </c>
      <c r="O6" s="9">
        <v>6539.564243966817</v>
      </c>
      <c r="P6" s="9">
        <v>12678.198345588236</v>
      </c>
      <c r="Q6" s="9">
        <v>154</v>
      </c>
      <c r="R6" s="9">
        <v>5451.330222473605</v>
      </c>
      <c r="S6" s="9">
        <v>1631.4555382730016</v>
      </c>
      <c r="T6" s="9">
        <v>1928.6833946078432</v>
      </c>
      <c r="U6" s="9">
        <v>869.5483455882352</v>
      </c>
      <c r="V6" s="9">
        <v>666.3102139894419</v>
      </c>
      <c r="W6" s="9">
        <v>257.5062547134238</v>
      </c>
      <c r="X6" s="9">
        <v>97.82647530165913</v>
      </c>
      <c r="Y6" s="9">
        <v>3152.181414969834</v>
      </c>
      <c r="Z6" s="9">
        <v>1316.9617647058824</v>
      </c>
      <c r="AA6" s="9">
        <v>459.90873397435894</v>
      </c>
      <c r="AB6" s="9">
        <v>360.32242647058825</v>
      </c>
      <c r="AC6" s="9">
        <v>100.028125</v>
      </c>
      <c r="AD6" s="9">
        <v>6203.47983597285</v>
      </c>
      <c r="AE6" s="9">
        <v>1330.7011076546003</v>
      </c>
      <c r="AF6" s="9">
        <v>2522.145145173454</v>
      </c>
      <c r="AG6" s="9">
        <v>1243.5856052036202</v>
      </c>
      <c r="AH6" s="9">
        <v>354.89836444193065</v>
      </c>
      <c r="AI6" s="9">
        <v>6542.1542138009045</v>
      </c>
      <c r="AJ6" s="9">
        <v>3882.3806042609353</v>
      </c>
      <c r="AK6" s="9">
        <v>1691.8128817873303</v>
      </c>
      <c r="AL6" s="9">
        <v>564.2329044117647</v>
      </c>
      <c r="AM6" s="9">
        <v>151.61774132730017</v>
      </c>
      <c r="AN6" s="9">
        <v>1245.857730015083</v>
      </c>
      <c r="AO6" s="9">
        <v>1382.1567307692308</v>
      </c>
      <c r="AP6" s="9">
        <v>10204.18388480392</v>
      </c>
      <c r="AQ6" s="9">
        <v>11728.520013197587</v>
      </c>
      <c r="AR6" s="9">
        <v>548.7824613499247</v>
      </c>
      <c r="AS6" s="9">
        <v>98.92298265460029</v>
      </c>
      <c r="AT6" s="9">
        <v>97.92775735294117</v>
      </c>
      <c r="AU6" s="9">
        <v>358.0451310331825</v>
      </c>
      <c r="AV6" s="9">
        <v>12832.198345588236</v>
      </c>
      <c r="AW6" s="9">
        <v>10871.39086067119</v>
      </c>
      <c r="AX6" s="9">
        <v>1323.3398331447963</v>
      </c>
      <c r="AY6" s="9">
        <v>67.83649132730014</v>
      </c>
      <c r="AZ6" s="9">
        <v>248</v>
      </c>
      <c r="BA6" s="9">
        <v>134.76066176470587</v>
      </c>
      <c r="BB6" s="9">
        <v>97.91112368024133</v>
      </c>
      <c r="BC6" s="9">
        <v>12832.198345588236</v>
      </c>
      <c r="BD6" s="9">
        <v>8645.176480015081</v>
      </c>
      <c r="BE6" s="9">
        <v>1029.2126272624432</v>
      </c>
      <c r="BF6" s="9">
        <v>1822.6809954751131</v>
      </c>
      <c r="BG6" s="9">
        <v>228.724637066365</v>
      </c>
      <c r="BH6" s="9">
        <v>437.13024604072405</v>
      </c>
      <c r="BI6" s="9">
        <v>274.40911104826546</v>
      </c>
      <c r="BJ6" s="9">
        <v>362.8083663273002</v>
      </c>
      <c r="BK6" s="9">
        <v>32.05588235294118</v>
      </c>
      <c r="BL6" s="9">
        <v>12832.198345588236</v>
      </c>
      <c r="BM6" s="9">
        <v>4594.894466440423</v>
      </c>
      <c r="BN6" s="9">
        <v>867.6812547134238</v>
      </c>
      <c r="BO6" s="9">
        <v>923.4900075414781</v>
      </c>
      <c r="BP6" s="9">
        <v>21</v>
      </c>
      <c r="BQ6" s="9">
        <v>5356.278563348416</v>
      </c>
      <c r="BR6" s="9">
        <v>958.9262961915537</v>
      </c>
      <c r="BS6" s="9">
        <v>12832.198345588236</v>
      </c>
      <c r="BT6" s="9">
        <v>10549.407569758672</v>
      </c>
      <c r="BU6" s="9">
        <v>1540.7272530165912</v>
      </c>
      <c r="BV6" s="9">
        <v>56.86461632730015</v>
      </c>
      <c r="BW6" s="9">
        <v>70.75174868024132</v>
      </c>
      <c r="BX6" s="9">
        <v>22.0625</v>
      </c>
      <c r="BY6" s="9">
        <v>349.1183823529412</v>
      </c>
      <c r="BZ6" s="9">
        <v>614.4471578054298</v>
      </c>
      <c r="CA6" s="9">
        <v>83.0125</v>
      </c>
      <c r="CB6" s="9">
        <v>124.94375</v>
      </c>
      <c r="CC6" s="9">
        <v>143.0125</v>
      </c>
      <c r="CD6" s="9">
        <v>263.47840780542987</v>
      </c>
      <c r="CE6" s="9">
        <v>12317.742095588235</v>
      </c>
      <c r="CF6" s="9">
        <v>12125.842463235294</v>
      </c>
      <c r="CG6" s="9">
        <v>147.97775735294118</v>
      </c>
      <c r="CH6" s="9">
        <v>43.921875</v>
      </c>
      <c r="CI6" s="9">
        <v>350.6770220588235</v>
      </c>
      <c r="CJ6" s="9">
        <v>11786.96231617647</v>
      </c>
      <c r="CK6" s="9">
        <v>3030.1879053544494</v>
      </c>
      <c r="CL6" s="9">
        <v>653.6676470588235</v>
      </c>
      <c r="CM6" s="9">
        <v>9394.298034502262</v>
      </c>
      <c r="CN6" s="9">
        <v>1396.9394419306182</v>
      </c>
      <c r="CO6" s="9">
        <v>3646.059521116139</v>
      </c>
      <c r="CP6" s="9">
        <v>667.8294259049775</v>
      </c>
      <c r="CQ6" s="9">
        <v>487.6853883861237</v>
      </c>
      <c r="CR6" s="9">
        <v>131.92895927601808</v>
      </c>
      <c r="CS6" s="9">
        <v>40.0625</v>
      </c>
      <c r="CT6" s="9">
        <v>9394.298034502262</v>
      </c>
      <c r="CU6" s="9">
        <v>3023.7927978883863</v>
      </c>
      <c r="CV6" s="9">
        <v>1479.1554581447965</v>
      </c>
      <c r="CW6" s="9">
        <v>322.23972002262445</v>
      </c>
      <c r="CX6" s="9">
        <v>516.7067166289593</v>
      </c>
      <c r="CY6" s="9">
        <v>515.8704044117646</v>
      </c>
      <c r="CZ6" s="9">
        <v>189.82049868024131</v>
      </c>
      <c r="DA6" s="9">
        <v>487.6853883861237</v>
      </c>
      <c r="DB6" s="9">
        <v>166.9558823529412</v>
      </c>
      <c r="DC6" s="9">
        <v>88.071875</v>
      </c>
      <c r="DD6" s="9">
        <v>57</v>
      </c>
      <c r="DE6" s="9">
        <v>5842.757348227752</v>
      </c>
      <c r="DF6" s="9">
        <v>432.7638857466063</v>
      </c>
      <c r="DG6" s="9">
        <v>1259.3696832579185</v>
      </c>
      <c r="DH6" s="9">
        <v>973.7824613499245</v>
      </c>
      <c r="DI6" s="9">
        <v>2209.28219739819</v>
      </c>
      <c r="DJ6" s="9">
        <v>967.5591204751131</v>
      </c>
      <c r="DK6" s="9">
        <v>5842.757348227752</v>
      </c>
      <c r="DL6" s="9">
        <v>150.89715309200605</v>
      </c>
      <c r="DM6" s="9">
        <v>148.88538838612368</v>
      </c>
      <c r="DN6" s="9">
        <v>682.6740808823529</v>
      </c>
      <c r="DO6" s="9">
        <v>33.921875</v>
      </c>
      <c r="DP6" s="9">
        <v>88.96461632730013</v>
      </c>
      <c r="DQ6" s="9">
        <v>659.9756504524886</v>
      </c>
      <c r="DR6" s="9">
        <v>924.2627969457013</v>
      </c>
      <c r="DS6" s="9">
        <v>256.67537236048264</v>
      </c>
      <c r="DT6" s="9">
        <v>293.8541383861237</v>
      </c>
      <c r="DU6" s="9">
        <v>208.5298736802413</v>
      </c>
      <c r="DV6" s="9">
        <v>48.86572398190045</v>
      </c>
      <c r="DW6" s="9">
        <v>75.11121794871795</v>
      </c>
      <c r="DX6" s="9">
        <v>170.7632400075415</v>
      </c>
      <c r="DY6" s="9">
        <v>301.8488970588236</v>
      </c>
      <c r="DZ6" s="9">
        <v>275.0717006033183</v>
      </c>
      <c r="EA6" s="9">
        <v>400.4268382352941</v>
      </c>
      <c r="EB6" s="9">
        <v>868.9857701734541</v>
      </c>
      <c r="EC6" s="9">
        <v>253.04301470588234</v>
      </c>
      <c r="ED6" s="9">
        <v>5842.757348227752</v>
      </c>
      <c r="EE6" s="9">
        <v>392.83539309954756</v>
      </c>
      <c r="EF6" s="9">
        <v>671.5108644419305</v>
      </c>
      <c r="EG6" s="9">
        <v>614.4420107466062</v>
      </c>
      <c r="EH6" s="9">
        <v>477.55424208144797</v>
      </c>
      <c r="EI6" s="9">
        <v>947.5496464932125</v>
      </c>
      <c r="EJ6" s="9">
        <v>706.6307032428357</v>
      </c>
      <c r="EK6" s="9">
        <v>576.6085595776773</v>
      </c>
      <c r="EL6" s="9">
        <v>724.8048783936653</v>
      </c>
      <c r="EM6" s="9">
        <v>730.8210501508296</v>
      </c>
      <c r="EN6" s="9">
        <v>10234.802092760183</v>
      </c>
      <c r="EO6" s="9">
        <v>3209.6465214932127</v>
      </c>
      <c r="EP6" s="9">
        <v>2877.4869956636503</v>
      </c>
      <c r="EQ6" s="9">
        <v>1389.6591299019606</v>
      </c>
      <c r="ER6" s="9">
        <v>903.1133484162895</v>
      </c>
      <c r="ES6" s="9">
        <v>1854.896097285068</v>
      </c>
      <c r="ET6" s="9">
        <v>5646.064423076923</v>
      </c>
      <c r="EU6" s="9">
        <v>5451.330222473605</v>
      </c>
      <c r="EV6" s="9">
        <v>194.73420060331824</v>
      </c>
      <c r="EW6" s="9">
        <v>54.04670060331826</v>
      </c>
      <c r="EX6" s="9">
        <v>140.6875</v>
      </c>
      <c r="EY6" s="9">
        <v>5451.330222473605</v>
      </c>
      <c r="EZ6" s="9">
        <v>1691.0436274509802</v>
      </c>
      <c r="FA6" s="9">
        <v>1753.0095729638008</v>
      </c>
      <c r="FB6" s="9">
        <v>1582.2992647058825</v>
      </c>
      <c r="FC6" s="9">
        <v>418.92775735294117</v>
      </c>
      <c r="FD6" s="9">
        <v>6.05</v>
      </c>
      <c r="FE6" s="9">
        <v>684.3812688536954</v>
      </c>
      <c r="FF6" s="9">
        <v>947.0742694193062</v>
      </c>
      <c r="FG6" s="9">
        <v>403.7976150075415</v>
      </c>
      <c r="FH6" s="9">
        <v>795.1342995852186</v>
      </c>
      <c r="FI6" s="9">
        <v>733.3445937028657</v>
      </c>
      <c r="FJ6" s="9">
        <v>311.5430194193062</v>
      </c>
      <c r="FK6" s="9">
        <v>251.7931136877828</v>
      </c>
      <c r="FL6" s="9">
        <v>324.8148897058824</v>
      </c>
      <c r="FM6" s="9">
        <v>32.921875</v>
      </c>
      <c r="FN6" s="9">
        <v>484.71838235294115</v>
      </c>
      <c r="FO6" s="9">
        <v>213.95799868024133</v>
      </c>
      <c r="FP6" s="9">
        <v>97.89025735294118</v>
      </c>
      <c r="FQ6" s="9">
        <v>1</v>
      </c>
      <c r="FR6" s="9">
        <v>18</v>
      </c>
      <c r="FS6" s="9">
        <v>150.95863970588235</v>
      </c>
      <c r="FT6" s="9">
        <v>5451.330222473605</v>
      </c>
      <c r="FU6" s="9">
        <v>298.05</v>
      </c>
      <c r="FV6" s="9">
        <v>1640.7681231146305</v>
      </c>
      <c r="FW6" s="9">
        <v>672.5027573529412</v>
      </c>
      <c r="FX6" s="9">
        <v>406.0671003016591</v>
      </c>
      <c r="FY6" s="9">
        <v>481.71838235294115</v>
      </c>
      <c r="FZ6" s="9">
        <v>192.778125</v>
      </c>
      <c r="GA6" s="9">
        <v>84.94025735294117</v>
      </c>
      <c r="GB6" s="9">
        <v>204</v>
      </c>
      <c r="GC6" s="9">
        <v>363.64320795625946</v>
      </c>
      <c r="GD6" s="9">
        <v>320.7380608974359</v>
      </c>
      <c r="GE6" s="9">
        <v>408.76599736048263</v>
      </c>
      <c r="GF6" s="9">
        <v>1404.494145927602</v>
      </c>
      <c r="GG6" s="9">
        <v>892.7479119532428</v>
      </c>
      <c r="GH6" s="9">
        <v>1.05</v>
      </c>
      <c r="GI6" s="9">
        <v>310</v>
      </c>
      <c r="GJ6" s="9">
        <v>111.97435897435898</v>
      </c>
      <c r="GK6" s="9">
        <v>43.609375</v>
      </c>
      <c r="GL6" s="9">
        <v>45.112500000000004</v>
      </c>
      <c r="GM6" s="9">
        <v>7985.48743872549</v>
      </c>
      <c r="GN6" s="9">
        <v>994.9108503016593</v>
      </c>
      <c r="GO6" s="9">
        <v>1</v>
      </c>
      <c r="GP6" s="9">
        <v>173.00514705882352</v>
      </c>
      <c r="GQ6" s="9">
        <v>488.5035067873303</v>
      </c>
      <c r="GR6" s="9">
        <v>51</v>
      </c>
      <c r="GS6" s="9">
        <v>3439.2280118778285</v>
      </c>
      <c r="GT6" s="9">
        <v>918.8207107843137</v>
      </c>
      <c r="GU6" s="9">
        <v>16</v>
      </c>
      <c r="GV6" s="9">
        <v>150.74577205882352</v>
      </c>
      <c r="GW6" s="9">
        <v>1613.547153092006</v>
      </c>
      <c r="GX6" s="9">
        <v>138.7262867647059</v>
      </c>
    </row>
    <row r="7" spans="1:206" ht="12.75">
      <c r="A7" s="5" t="s">
        <v>335</v>
      </c>
      <c r="B7" s="9">
        <v>179.783743286</v>
      </c>
      <c r="C7" s="9">
        <v>11751.177812852586</v>
      </c>
      <c r="D7" s="9">
        <v>682.8089450454036</v>
      </c>
      <c r="E7" s="9">
        <v>1473.7644682778275</v>
      </c>
      <c r="F7" s="9">
        <v>1983.8386934438358</v>
      </c>
      <c r="G7" s="9">
        <v>2444.7776923411616</v>
      </c>
      <c r="H7" s="9">
        <v>2767.2018715427475</v>
      </c>
      <c r="I7" s="9">
        <v>1730.3570671280975</v>
      </c>
      <c r="J7" s="9">
        <v>668.4290750735137</v>
      </c>
      <c r="K7" s="9">
        <v>2156.5734133232313</v>
      </c>
      <c r="L7" s="9">
        <v>7977.062567425846</v>
      </c>
      <c r="M7" s="9">
        <v>1617.5418321035097</v>
      </c>
      <c r="N7" s="9">
        <v>5848.899997191741</v>
      </c>
      <c r="O7" s="9">
        <v>5902.2778156608465</v>
      </c>
      <c r="P7" s="9">
        <v>11608.206872681647</v>
      </c>
      <c r="Q7" s="9">
        <v>142.97094017094017</v>
      </c>
      <c r="R7" s="9">
        <v>4975.020034149338</v>
      </c>
      <c r="S7" s="9">
        <v>1403.305034396663</v>
      </c>
      <c r="T7" s="9">
        <v>1802.7880503551355</v>
      </c>
      <c r="U7" s="9">
        <v>823.4078223513815</v>
      </c>
      <c r="V7" s="9">
        <v>681.5894744551938</v>
      </c>
      <c r="W7" s="9">
        <v>201.42883696363802</v>
      </c>
      <c r="X7" s="9">
        <v>62.5008156273262</v>
      </c>
      <c r="Y7" s="9">
        <v>3546.4822330901216</v>
      </c>
      <c r="Z7" s="9">
        <v>576.0616029975208</v>
      </c>
      <c r="AA7" s="9">
        <v>103.54342018196857</v>
      </c>
      <c r="AB7" s="9">
        <v>637.1481072068312</v>
      </c>
      <c r="AC7" s="9">
        <v>65.02208633808618</v>
      </c>
      <c r="AD7" s="9">
        <v>6583.0434831181265</v>
      </c>
      <c r="AE7" s="9">
        <v>769.112009413845</v>
      </c>
      <c r="AF7" s="9">
        <v>2402.5768809625333</v>
      </c>
      <c r="AG7" s="9">
        <v>1396.1506063877305</v>
      </c>
      <c r="AH7" s="9">
        <v>407.1805373852287</v>
      </c>
      <c r="AI7" s="9">
        <v>6649.164180665506</v>
      </c>
      <c r="AJ7" s="9">
        <v>3416.2659583248033</v>
      </c>
      <c r="AK7" s="9">
        <v>1211.2351994189194</v>
      </c>
      <c r="AL7" s="9">
        <v>372.81777566906516</v>
      </c>
      <c r="AM7" s="9">
        <v>101.6946987742931</v>
      </c>
      <c r="AN7" s="9">
        <v>798.3019188577572</v>
      </c>
      <c r="AO7" s="9">
        <v>1106.6320233071979</v>
      </c>
      <c r="AP7" s="9">
        <v>9846.243870687631</v>
      </c>
      <c r="AQ7" s="9">
        <v>10685.771706964124</v>
      </c>
      <c r="AR7" s="9">
        <v>611.9523833087896</v>
      </c>
      <c r="AS7" s="9">
        <v>89.43556320451799</v>
      </c>
      <c r="AT7" s="9">
        <v>86.35506638552857</v>
      </c>
      <c r="AU7" s="9">
        <v>277.66309298962733</v>
      </c>
      <c r="AV7" s="9">
        <v>11751.177812852586</v>
      </c>
      <c r="AW7" s="9">
        <v>9695.134160665008</v>
      </c>
      <c r="AX7" s="9">
        <v>1414.8832382584246</v>
      </c>
      <c r="AY7" s="9">
        <v>78.39078932722515</v>
      </c>
      <c r="AZ7" s="9">
        <v>152.28691967109424</v>
      </c>
      <c r="BA7" s="9">
        <v>179.88454898319387</v>
      </c>
      <c r="BB7" s="9">
        <v>120.46060565870911</v>
      </c>
      <c r="BC7" s="9">
        <v>11751.177812852586</v>
      </c>
      <c r="BD7" s="9">
        <v>7450.812415517247</v>
      </c>
      <c r="BE7" s="9">
        <v>1110.4092623908466</v>
      </c>
      <c r="BF7" s="9">
        <v>1893.6086350713242</v>
      </c>
      <c r="BG7" s="9">
        <v>217.18812280618016</v>
      </c>
      <c r="BH7" s="9">
        <v>438.8390442008639</v>
      </c>
      <c r="BI7" s="9">
        <v>255.89888221424735</v>
      </c>
      <c r="BJ7" s="9">
        <v>362.4214506518788</v>
      </c>
      <c r="BK7" s="9">
        <v>22</v>
      </c>
      <c r="BL7" s="9">
        <v>11751.177812852586</v>
      </c>
      <c r="BM7" s="9">
        <v>4142.551912741652</v>
      </c>
      <c r="BN7" s="9">
        <v>836.9145515227283</v>
      </c>
      <c r="BO7" s="9">
        <v>1004.8590195477523</v>
      </c>
      <c r="BP7" s="9">
        <v>48.00625850340136</v>
      </c>
      <c r="BQ7" s="9">
        <v>4776.537356981211</v>
      </c>
      <c r="BR7" s="9">
        <v>859.5152092823381</v>
      </c>
      <c r="BS7" s="9">
        <v>11751.177812852586</v>
      </c>
      <c r="BT7" s="9">
        <v>9328.076800878105</v>
      </c>
      <c r="BU7" s="9">
        <v>1601.049973779335</v>
      </c>
      <c r="BV7" s="9">
        <v>47.371153846153845</v>
      </c>
      <c r="BW7" s="9">
        <v>74.28105327895969</v>
      </c>
      <c r="BX7" s="9">
        <v>33.495041694838854</v>
      </c>
      <c r="BY7" s="9">
        <v>332.8878463277727</v>
      </c>
      <c r="BZ7" s="9">
        <v>700.1526772238801</v>
      </c>
      <c r="CA7" s="9">
        <v>72.74503770739065</v>
      </c>
      <c r="CB7" s="9">
        <v>153.0308278439581</v>
      </c>
      <c r="CC7" s="9">
        <v>145.70438409846696</v>
      </c>
      <c r="CD7" s="9">
        <v>328.67242757406433</v>
      </c>
      <c r="CE7" s="9">
        <v>11360.967808325977</v>
      </c>
      <c r="CF7" s="9">
        <v>11248.066077556747</v>
      </c>
      <c r="CG7" s="9">
        <v>97.90173076923077</v>
      </c>
      <c r="CH7" s="9">
        <v>15</v>
      </c>
      <c r="CI7" s="9">
        <v>381.2510230988947</v>
      </c>
      <c r="CJ7" s="9">
        <v>10836.157230188444</v>
      </c>
      <c r="CK7" s="9">
        <v>2593.428683130849</v>
      </c>
      <c r="CL7" s="9">
        <v>640.807119218641</v>
      </c>
      <c r="CM7" s="9">
        <v>8926.175324455842</v>
      </c>
      <c r="CN7" s="9">
        <v>1392.097307551839</v>
      </c>
      <c r="CO7" s="9">
        <v>4141.857888326118</v>
      </c>
      <c r="CP7" s="9">
        <v>785.4525181940378</v>
      </c>
      <c r="CQ7" s="9">
        <v>292.13226398208803</v>
      </c>
      <c r="CR7" s="9">
        <v>169.9598634515841</v>
      </c>
      <c r="CS7" s="9">
        <v>29.653786848072563</v>
      </c>
      <c r="CT7" s="9">
        <v>8926.175324455842</v>
      </c>
      <c r="CU7" s="9">
        <v>2115.0216961021024</v>
      </c>
      <c r="CV7" s="9">
        <v>1074.7099664022362</v>
      </c>
      <c r="CW7" s="9">
        <v>313.56832975099854</v>
      </c>
      <c r="CX7" s="9">
        <v>291.8962346919601</v>
      </c>
      <c r="CY7" s="9">
        <v>308.7306665831673</v>
      </c>
      <c r="CZ7" s="9">
        <v>126.11649867374005</v>
      </c>
      <c r="DA7" s="9">
        <v>292.13226398208803</v>
      </c>
      <c r="DB7" s="9">
        <v>86.82615280594996</v>
      </c>
      <c r="DC7" s="9">
        <v>60.39937142011193</v>
      </c>
      <c r="DD7" s="9">
        <v>27.810980392156864</v>
      </c>
      <c r="DE7" s="9">
        <v>6489.367577523579</v>
      </c>
      <c r="DF7" s="9">
        <v>412.70210126936036</v>
      </c>
      <c r="DG7" s="9">
        <v>1306.8160569901502</v>
      </c>
      <c r="DH7" s="9">
        <v>1221.8354870914168</v>
      </c>
      <c r="DI7" s="9">
        <v>2669.2121256404507</v>
      </c>
      <c r="DJ7" s="9">
        <v>878.8018065322019</v>
      </c>
      <c r="DK7" s="9">
        <v>6489.367577523579</v>
      </c>
      <c r="DL7" s="9">
        <v>196.53624080860774</v>
      </c>
      <c r="DM7" s="9">
        <v>59.68645195124911</v>
      </c>
      <c r="DN7" s="9">
        <v>353.061553210172</v>
      </c>
      <c r="DO7" s="9">
        <v>33.78431372549019</v>
      </c>
      <c r="DP7" s="9">
        <v>59.79295019157088</v>
      </c>
      <c r="DQ7" s="9">
        <v>576.088118896171</v>
      </c>
      <c r="DR7" s="9">
        <v>1194.0510651595282</v>
      </c>
      <c r="DS7" s="9">
        <v>414.6551742907881</v>
      </c>
      <c r="DT7" s="9">
        <v>401.9541385276908</v>
      </c>
      <c r="DU7" s="9">
        <v>165.42618339112835</v>
      </c>
      <c r="DV7" s="9">
        <v>96.06211685823756</v>
      </c>
      <c r="DW7" s="9">
        <v>68.60188661229301</v>
      </c>
      <c r="DX7" s="9">
        <v>253.04228608065682</v>
      </c>
      <c r="DY7" s="9">
        <v>285.6470207194426</v>
      </c>
      <c r="DZ7" s="9">
        <v>552.273176379305</v>
      </c>
      <c r="EA7" s="9">
        <v>413.3327883456797</v>
      </c>
      <c r="EB7" s="9">
        <v>1087.3161804828887</v>
      </c>
      <c r="EC7" s="9">
        <v>278.0559318926795</v>
      </c>
      <c r="ED7" s="9">
        <v>6489.367577523579</v>
      </c>
      <c r="EE7" s="9">
        <v>514.8717706662826</v>
      </c>
      <c r="EF7" s="9">
        <v>946.3206702088725</v>
      </c>
      <c r="EG7" s="9">
        <v>843.6659122539522</v>
      </c>
      <c r="EH7" s="9">
        <v>700.0290267398708</v>
      </c>
      <c r="EI7" s="9">
        <v>962.5014280877921</v>
      </c>
      <c r="EJ7" s="9">
        <v>627.6568153433188</v>
      </c>
      <c r="EK7" s="9">
        <v>633.4557111801681</v>
      </c>
      <c r="EL7" s="9">
        <v>547.9490425839199</v>
      </c>
      <c r="EM7" s="9">
        <v>712.9172004594027</v>
      </c>
      <c r="EN7" s="9">
        <v>9594.604399529355</v>
      </c>
      <c r="EO7" s="9">
        <v>2178.4203041125465</v>
      </c>
      <c r="EP7" s="9">
        <v>2537.408507619128</v>
      </c>
      <c r="EQ7" s="9">
        <v>1495.9449801778044</v>
      </c>
      <c r="ER7" s="9">
        <v>912.525954064293</v>
      </c>
      <c r="ES7" s="9">
        <v>2470.304653555584</v>
      </c>
      <c r="ET7" s="9">
        <v>5105.412089583815</v>
      </c>
      <c r="EU7" s="9">
        <v>4975.020034149338</v>
      </c>
      <c r="EV7" s="9">
        <v>130.39205543447804</v>
      </c>
      <c r="EW7" s="9">
        <v>38.737135711932865</v>
      </c>
      <c r="EX7" s="9">
        <v>91.65491972254519</v>
      </c>
      <c r="EY7" s="9">
        <v>4975.020034149338</v>
      </c>
      <c r="EZ7" s="9">
        <v>2100.411829342159</v>
      </c>
      <c r="FA7" s="9">
        <v>1340.5768585808014</v>
      </c>
      <c r="FB7" s="9">
        <v>925.5930205645477</v>
      </c>
      <c r="FC7" s="9">
        <v>602.7609538669578</v>
      </c>
      <c r="FD7" s="9">
        <v>5.677371794871795</v>
      </c>
      <c r="FE7" s="9">
        <v>472.74193240206444</v>
      </c>
      <c r="FF7" s="9">
        <v>930.5631019945985</v>
      </c>
      <c r="FG7" s="9">
        <v>336.4897784587724</v>
      </c>
      <c r="FH7" s="9">
        <v>784.7908799824655</v>
      </c>
      <c r="FI7" s="9">
        <v>791.0315081962165</v>
      </c>
      <c r="FJ7" s="9">
        <v>320.20277391285083</v>
      </c>
      <c r="FK7" s="9">
        <v>290.83293378093947</v>
      </c>
      <c r="FL7" s="9">
        <v>221.79039450973337</v>
      </c>
      <c r="FM7" s="9">
        <v>31.45690945343655</v>
      </c>
      <c r="FN7" s="9">
        <v>323.5532846312993</v>
      </c>
      <c r="FO7" s="9">
        <v>208.16354345451705</v>
      </c>
      <c r="FP7" s="9">
        <v>109.14474107591755</v>
      </c>
      <c r="FQ7" s="9">
        <v>1</v>
      </c>
      <c r="FR7" s="9">
        <v>18</v>
      </c>
      <c r="FS7" s="9">
        <v>135.25825229652628</v>
      </c>
      <c r="FT7" s="9">
        <v>4975.020034149338</v>
      </c>
      <c r="FU7" s="9">
        <v>130.25705902608613</v>
      </c>
      <c r="FV7" s="9">
        <v>1445.5199284131668</v>
      </c>
      <c r="FW7" s="9">
        <v>558.7553049178086</v>
      </c>
      <c r="FX7" s="9">
        <v>327.3700269077712</v>
      </c>
      <c r="FY7" s="9">
        <v>323.5532846312993</v>
      </c>
      <c r="FZ7" s="9">
        <v>125.31590247596144</v>
      </c>
      <c r="GA7" s="9">
        <v>91.36370067124993</v>
      </c>
      <c r="GB7" s="9">
        <v>106.8736814840879</v>
      </c>
      <c r="GC7" s="9">
        <v>217.30510570233054</v>
      </c>
      <c r="GD7" s="9">
        <v>255.43682669973384</v>
      </c>
      <c r="GE7" s="9">
        <v>408.7153252968567</v>
      </c>
      <c r="GF7" s="9">
        <v>1073.7773864307994</v>
      </c>
      <c r="GG7" s="9">
        <v>828.2093755849506</v>
      </c>
      <c r="GH7" s="9">
        <v>1</v>
      </c>
      <c r="GI7" s="9">
        <v>134.50653594771242</v>
      </c>
      <c r="GJ7" s="9">
        <v>15</v>
      </c>
      <c r="GK7" s="9">
        <v>68.99993643659798</v>
      </c>
      <c r="GL7" s="9">
        <v>26.06153846153846</v>
      </c>
      <c r="GM7" s="9">
        <v>8346.926071989703</v>
      </c>
      <c r="GN7" s="9">
        <v>989.8059235160651</v>
      </c>
      <c r="GO7" s="9">
        <v>0.7843137254901961</v>
      </c>
      <c r="GP7" s="9">
        <v>77.98475029357455</v>
      </c>
      <c r="GQ7" s="9">
        <v>970.1626858471918</v>
      </c>
      <c r="GR7" s="9">
        <v>29.458333333333336</v>
      </c>
      <c r="GS7" s="9">
        <v>4062.8209928925794</v>
      </c>
      <c r="GT7" s="9">
        <v>768.5942537820297</v>
      </c>
      <c r="GU7" s="9">
        <v>35.5</v>
      </c>
      <c r="GV7" s="9">
        <v>189.83750420415734</v>
      </c>
      <c r="GW7" s="9">
        <v>1127.868134185165</v>
      </c>
      <c r="GX7" s="9">
        <v>94.10918021011776</v>
      </c>
    </row>
    <row r="8" spans="1:206" ht="12.75">
      <c r="A8" s="5" t="s">
        <v>336</v>
      </c>
      <c r="B8" s="9">
        <v>93.9533049976</v>
      </c>
      <c r="C8" s="9">
        <v>12132.08675674125</v>
      </c>
      <c r="D8" s="9">
        <v>679.4001347109447</v>
      </c>
      <c r="E8" s="9">
        <v>1555.4879166098694</v>
      </c>
      <c r="F8" s="9">
        <v>1975.8178911772345</v>
      </c>
      <c r="G8" s="9">
        <v>2187.6800763067595</v>
      </c>
      <c r="H8" s="9">
        <v>2695.2347677787866</v>
      </c>
      <c r="I8" s="9">
        <v>1992.0505461075622</v>
      </c>
      <c r="J8" s="9">
        <v>1046.4154240500911</v>
      </c>
      <c r="K8" s="9">
        <v>2234.888051320814</v>
      </c>
      <c r="L8" s="9">
        <v>7689.360005798069</v>
      </c>
      <c r="M8" s="9">
        <v>2207.8386996223653</v>
      </c>
      <c r="N8" s="9">
        <v>5849.019234887487</v>
      </c>
      <c r="O8" s="9">
        <v>6283.067521853763</v>
      </c>
      <c r="P8" s="9">
        <v>12015.27425674125</v>
      </c>
      <c r="Q8" s="9">
        <v>116.8125</v>
      </c>
      <c r="R8" s="9">
        <v>5206.099838648345</v>
      </c>
      <c r="S8" s="9">
        <v>1538.240953121723</v>
      </c>
      <c r="T8" s="9">
        <v>1901.6208639379722</v>
      </c>
      <c r="U8" s="9">
        <v>813.2824376333979</v>
      </c>
      <c r="V8" s="9">
        <v>630.5882609328412</v>
      </c>
      <c r="W8" s="9">
        <v>253.11551875893855</v>
      </c>
      <c r="X8" s="9">
        <v>69.25180426347248</v>
      </c>
      <c r="Y8" s="9">
        <v>3533.1727428163813</v>
      </c>
      <c r="Z8" s="9">
        <v>871.421455412055</v>
      </c>
      <c r="AA8" s="9">
        <v>250.2732469512195</v>
      </c>
      <c r="AB8" s="9">
        <v>385.7082064725005</v>
      </c>
      <c r="AC8" s="9">
        <v>98.4172741174012</v>
      </c>
      <c r="AD8" s="9">
        <v>6505.684172202562</v>
      </c>
      <c r="AE8" s="9">
        <v>1056.0417355975605</v>
      </c>
      <c r="AF8" s="9">
        <v>2399.4653737607837</v>
      </c>
      <c r="AG8" s="9">
        <v>1319.5107498353527</v>
      </c>
      <c r="AH8" s="9">
        <v>431.08197945464804</v>
      </c>
      <c r="AI8" s="9">
        <v>6683.002147049895</v>
      </c>
      <c r="AJ8" s="9">
        <v>3551.4545249028015</v>
      </c>
      <c r="AK8" s="9">
        <v>1414.9422137114914</v>
      </c>
      <c r="AL8" s="9">
        <v>350.6007036712955</v>
      </c>
      <c r="AM8" s="9">
        <v>132.08716740576497</v>
      </c>
      <c r="AN8" s="9">
        <v>901.0885967437864</v>
      </c>
      <c r="AO8" s="9">
        <v>1219.7308081239999</v>
      </c>
      <c r="AP8" s="9">
        <v>10011.267351873463</v>
      </c>
      <c r="AQ8" s="9">
        <v>11103.730228435883</v>
      </c>
      <c r="AR8" s="9">
        <v>603.70162680775</v>
      </c>
      <c r="AS8" s="9">
        <v>86.86878193818595</v>
      </c>
      <c r="AT8" s="9">
        <v>78.48213421091322</v>
      </c>
      <c r="AU8" s="9">
        <v>259.30398534851645</v>
      </c>
      <c r="AV8" s="9">
        <v>12132.08675674125</v>
      </c>
      <c r="AW8" s="9">
        <v>10282.835792138494</v>
      </c>
      <c r="AX8" s="9">
        <v>1269.6174287786444</v>
      </c>
      <c r="AY8" s="9">
        <v>61.845107695761705</v>
      </c>
      <c r="AZ8" s="9">
        <v>200.1117886178862</v>
      </c>
      <c r="BA8" s="9">
        <v>160.575787237735</v>
      </c>
      <c r="BB8" s="9">
        <v>112</v>
      </c>
      <c r="BC8" s="9">
        <v>12132.08675674125</v>
      </c>
      <c r="BD8" s="9">
        <v>8111.603682842777</v>
      </c>
      <c r="BE8" s="9">
        <v>975.1414293848845</v>
      </c>
      <c r="BF8" s="9">
        <v>1794.472543219456</v>
      </c>
      <c r="BG8" s="9">
        <v>261.4422745190851</v>
      </c>
      <c r="BH8" s="9">
        <v>373.61475241740254</v>
      </c>
      <c r="BI8" s="9">
        <v>249.25200644434804</v>
      </c>
      <c r="BJ8" s="9">
        <v>344.54188609511283</v>
      </c>
      <c r="BK8" s="9">
        <v>22.01818181818182</v>
      </c>
      <c r="BL8" s="9">
        <v>12132.08675674125</v>
      </c>
      <c r="BM8" s="9">
        <v>5291.050347411186</v>
      </c>
      <c r="BN8" s="9">
        <v>766.7402420246751</v>
      </c>
      <c r="BO8" s="9">
        <v>996.8715159453806</v>
      </c>
      <c r="BP8" s="9">
        <v>46</v>
      </c>
      <c r="BQ8" s="9">
        <v>4057.9103516651476</v>
      </c>
      <c r="BR8" s="9">
        <v>895.4728093252938</v>
      </c>
      <c r="BS8" s="9">
        <v>12132.08675674125</v>
      </c>
      <c r="BT8" s="9">
        <v>10081.342098323483</v>
      </c>
      <c r="BU8" s="9">
        <v>1367.9431662583315</v>
      </c>
      <c r="BV8" s="9">
        <v>35.853215111078974</v>
      </c>
      <c r="BW8" s="9">
        <v>40.45975378787878</v>
      </c>
      <c r="BX8" s="9">
        <v>34.12466740576497</v>
      </c>
      <c r="BY8" s="9">
        <v>342.58127697976585</v>
      </c>
      <c r="BZ8" s="9">
        <v>606.4885232604756</v>
      </c>
      <c r="CA8" s="9">
        <v>92.33080808080808</v>
      </c>
      <c r="CB8" s="9">
        <v>159.6921525032938</v>
      </c>
      <c r="CC8" s="9">
        <v>89.21784922394677</v>
      </c>
      <c r="CD8" s="9">
        <v>265.247713452427</v>
      </c>
      <c r="CE8" s="9">
        <v>11733.633371140208</v>
      </c>
      <c r="CF8" s="9">
        <v>11545.962637089735</v>
      </c>
      <c r="CG8" s="9">
        <v>153.5926090504729</v>
      </c>
      <c r="CH8" s="9">
        <v>34.078125</v>
      </c>
      <c r="CI8" s="9">
        <v>567.0036572699855</v>
      </c>
      <c r="CJ8" s="9">
        <v>10989.60438779903</v>
      </c>
      <c r="CK8" s="9">
        <v>2498.066925638297</v>
      </c>
      <c r="CL8" s="9">
        <v>796.7253032972284</v>
      </c>
      <c r="CM8" s="9">
        <v>8850.783281370343</v>
      </c>
      <c r="CN8" s="9">
        <v>1422.4018473829392</v>
      </c>
      <c r="CO8" s="9">
        <v>3678.786200444738</v>
      </c>
      <c r="CP8" s="9">
        <v>769.6047330290297</v>
      </c>
      <c r="CQ8" s="9">
        <v>355.43019445040494</v>
      </c>
      <c r="CR8" s="9">
        <v>122.4959292105193</v>
      </c>
      <c r="CS8" s="9">
        <v>26.303836754643207</v>
      </c>
      <c r="CT8" s="9">
        <v>8850.783281370343</v>
      </c>
      <c r="CU8" s="9">
        <v>2475.7605400980697</v>
      </c>
      <c r="CV8" s="9">
        <v>1325.989849943436</v>
      </c>
      <c r="CW8" s="9">
        <v>295.23377637011345</v>
      </c>
      <c r="CX8" s="9">
        <v>348.21989181984213</v>
      </c>
      <c r="CY8" s="9">
        <v>351.2624372412163</v>
      </c>
      <c r="CZ8" s="9">
        <v>155.0545847234618</v>
      </c>
      <c r="DA8" s="9">
        <v>355.43019445040494</v>
      </c>
      <c r="DB8" s="9">
        <v>90.47631150211795</v>
      </c>
      <c r="DC8" s="9">
        <v>80.78797348484848</v>
      </c>
      <c r="DD8" s="9">
        <v>29.225806451612904</v>
      </c>
      <c r="DE8" s="9">
        <v>5993.288710067225</v>
      </c>
      <c r="DF8" s="9">
        <v>444.50910091015515</v>
      </c>
      <c r="DG8" s="9">
        <v>1265.0748868849616</v>
      </c>
      <c r="DH8" s="9">
        <v>1182.6453229324425</v>
      </c>
      <c r="DI8" s="9">
        <v>2281.355117531185</v>
      </c>
      <c r="DJ8" s="9">
        <v>819.704281808481</v>
      </c>
      <c r="DK8" s="9">
        <v>5993.288710067225</v>
      </c>
      <c r="DL8" s="9">
        <v>162.9054085479016</v>
      </c>
      <c r="DM8" s="9">
        <v>62.66253695923418</v>
      </c>
      <c r="DN8" s="9">
        <v>466.9422567953247</v>
      </c>
      <c r="DO8" s="9">
        <v>65.85241630009774</v>
      </c>
      <c r="DP8" s="9">
        <v>67.34450298986685</v>
      </c>
      <c r="DQ8" s="9">
        <v>724.5009281207899</v>
      </c>
      <c r="DR8" s="9">
        <v>1041.8529837174208</v>
      </c>
      <c r="DS8" s="9">
        <v>244.66978704730226</v>
      </c>
      <c r="DT8" s="9">
        <v>338.1922964486482</v>
      </c>
      <c r="DU8" s="9">
        <v>116.19258016702791</v>
      </c>
      <c r="DV8" s="9">
        <v>68.39315062505463</v>
      </c>
      <c r="DW8" s="9">
        <v>56.33261539902151</v>
      </c>
      <c r="DX8" s="9">
        <v>267.0051168163609</v>
      </c>
      <c r="DY8" s="9">
        <v>287.3088949629535</v>
      </c>
      <c r="DZ8" s="9">
        <v>471.0420697110675</v>
      </c>
      <c r="EA8" s="9">
        <v>441.24318296492436</v>
      </c>
      <c r="EB8" s="9">
        <v>860.1315961186714</v>
      </c>
      <c r="EC8" s="9">
        <v>250.7163863755573</v>
      </c>
      <c r="ED8" s="9">
        <v>5993.288710067225</v>
      </c>
      <c r="EE8" s="9">
        <v>470.8217195029952</v>
      </c>
      <c r="EF8" s="9">
        <v>800.6330215607913</v>
      </c>
      <c r="EG8" s="9">
        <v>604.4655130770557</v>
      </c>
      <c r="EH8" s="9">
        <v>635.5140197514431</v>
      </c>
      <c r="EI8" s="9">
        <v>1040.5308631795237</v>
      </c>
      <c r="EJ8" s="9">
        <v>630.391042270704</v>
      </c>
      <c r="EK8" s="9">
        <v>634.7818520787528</v>
      </c>
      <c r="EL8" s="9">
        <v>562.3903939864298</v>
      </c>
      <c r="EM8" s="9">
        <v>613.7602846595294</v>
      </c>
      <c r="EN8" s="9">
        <v>9897.198705420435</v>
      </c>
      <c r="EO8" s="9">
        <v>2746.116819472821</v>
      </c>
      <c r="EP8" s="9">
        <v>2577.5319790961557</v>
      </c>
      <c r="EQ8" s="9">
        <v>1389.293899444752</v>
      </c>
      <c r="ER8" s="9">
        <v>859.9694376330955</v>
      </c>
      <c r="ES8" s="9">
        <v>2324.2865697736092</v>
      </c>
      <c r="ET8" s="9">
        <v>5390.283544217359</v>
      </c>
      <c r="EU8" s="9">
        <v>5206.099838648345</v>
      </c>
      <c r="EV8" s="9">
        <v>184.1837055690141</v>
      </c>
      <c r="EW8" s="9">
        <v>18.077272727272728</v>
      </c>
      <c r="EX8" s="9">
        <v>166.1064328417414</v>
      </c>
      <c r="EY8" s="9">
        <v>5206.099838648345</v>
      </c>
      <c r="EZ8" s="9">
        <v>2082.9193730311013</v>
      </c>
      <c r="FA8" s="9">
        <v>1567.311749120053</v>
      </c>
      <c r="FB8" s="9">
        <v>885.7610772357723</v>
      </c>
      <c r="FC8" s="9">
        <v>664.4270837058627</v>
      </c>
      <c r="FD8" s="9">
        <v>5.680555555555555</v>
      </c>
      <c r="FE8" s="9">
        <v>693.7818151821467</v>
      </c>
      <c r="FF8" s="9">
        <v>844.459137939576</v>
      </c>
      <c r="FG8" s="9">
        <v>440.1795073658453</v>
      </c>
      <c r="FH8" s="9">
        <v>754.253085401746</v>
      </c>
      <c r="FI8" s="9">
        <v>760.8017899669825</v>
      </c>
      <c r="FJ8" s="9">
        <v>344.46783153366005</v>
      </c>
      <c r="FK8" s="9">
        <v>263.8359221523292</v>
      </c>
      <c r="FL8" s="9">
        <v>239.85384140316208</v>
      </c>
      <c r="FM8" s="9">
        <v>32.878647733233194</v>
      </c>
      <c r="FN8" s="9">
        <v>340.70329059417077</v>
      </c>
      <c r="FO8" s="9">
        <v>223.5015205450928</v>
      </c>
      <c r="FP8" s="9">
        <v>75.63498282326394</v>
      </c>
      <c r="FQ8" s="9">
        <v>0</v>
      </c>
      <c r="FR8" s="9">
        <v>30.274417562724015</v>
      </c>
      <c r="FS8" s="9">
        <v>161.4740484444123</v>
      </c>
      <c r="FT8" s="9">
        <v>5206.099838648345</v>
      </c>
      <c r="FU8" s="9">
        <v>179.11186868686866</v>
      </c>
      <c r="FV8" s="9">
        <v>1416.9939047875791</v>
      </c>
      <c r="FW8" s="9">
        <v>546.2739179057965</v>
      </c>
      <c r="FX8" s="9">
        <v>299.476246433652</v>
      </c>
      <c r="FY8" s="9">
        <v>340.70329059417077</v>
      </c>
      <c r="FZ8" s="9">
        <v>126.52259642421029</v>
      </c>
      <c r="GA8" s="9">
        <v>73.24130023056654</v>
      </c>
      <c r="GB8" s="9">
        <v>140.93939393939394</v>
      </c>
      <c r="GC8" s="9">
        <v>268.27190313082764</v>
      </c>
      <c r="GD8" s="9">
        <v>425.5099120513192</v>
      </c>
      <c r="GE8" s="9">
        <v>546.905511998772</v>
      </c>
      <c r="GF8" s="9">
        <v>1483.9129008524162</v>
      </c>
      <c r="GG8" s="9">
        <v>1108.5784522730037</v>
      </c>
      <c r="GH8" s="9">
        <v>2</v>
      </c>
      <c r="GI8" s="9">
        <v>247.625</v>
      </c>
      <c r="GJ8" s="9">
        <v>36</v>
      </c>
      <c r="GK8" s="9">
        <v>36.707126976284584</v>
      </c>
      <c r="GL8" s="9">
        <v>53.00232160312805</v>
      </c>
      <c r="GM8" s="9">
        <v>7894.521864435283</v>
      </c>
      <c r="GN8" s="9">
        <v>881.5419068541779</v>
      </c>
      <c r="GO8" s="9">
        <v>2</v>
      </c>
      <c r="GP8" s="9">
        <v>224.56637907398135</v>
      </c>
      <c r="GQ8" s="9">
        <v>640.2796459100634</v>
      </c>
      <c r="GR8" s="9">
        <v>28.303455284552847</v>
      </c>
      <c r="GS8" s="9">
        <v>3637.602315553035</v>
      </c>
      <c r="GT8" s="9">
        <v>783.9436192065526</v>
      </c>
      <c r="GU8" s="9">
        <v>9</v>
      </c>
      <c r="GV8" s="9">
        <v>123.02982954545455</v>
      </c>
      <c r="GW8" s="9">
        <v>1479.0010921913695</v>
      </c>
      <c r="GX8" s="9">
        <v>85.25362081609548</v>
      </c>
    </row>
    <row r="9" spans="1:206" ht="12.75">
      <c r="A9" s="5" t="s">
        <v>337</v>
      </c>
      <c r="B9" s="9">
        <v>1508.78199044</v>
      </c>
      <c r="C9" s="9">
        <v>7681.170037105751</v>
      </c>
      <c r="D9" s="9">
        <v>338.8551948051948</v>
      </c>
      <c r="E9" s="9">
        <v>848.6759659595064</v>
      </c>
      <c r="F9" s="9">
        <v>961.3285431959346</v>
      </c>
      <c r="G9" s="9">
        <v>1094.9856860530772</v>
      </c>
      <c r="H9" s="9">
        <v>1769.465120593692</v>
      </c>
      <c r="I9" s="9">
        <v>1728.5989795918367</v>
      </c>
      <c r="J9" s="9">
        <v>939.2605469065097</v>
      </c>
      <c r="K9" s="9">
        <v>1187.5311607647013</v>
      </c>
      <c r="L9" s="9">
        <v>4479.055404533355</v>
      </c>
      <c r="M9" s="9">
        <v>2014.5834718076953</v>
      </c>
      <c r="N9" s="9">
        <v>3668.2768855368236</v>
      </c>
      <c r="O9" s="9">
        <v>4012.8931515689283</v>
      </c>
      <c r="P9" s="9">
        <v>7585.170037105751</v>
      </c>
      <c r="Q9" s="9">
        <v>96</v>
      </c>
      <c r="R9" s="9">
        <v>3592.2297007340485</v>
      </c>
      <c r="S9" s="9">
        <v>1277.693204000968</v>
      </c>
      <c r="T9" s="9">
        <v>1368.1988827942246</v>
      </c>
      <c r="U9" s="9">
        <v>434.83981608453655</v>
      </c>
      <c r="V9" s="9">
        <v>353.3697991449544</v>
      </c>
      <c r="W9" s="9">
        <v>116.60061305154474</v>
      </c>
      <c r="X9" s="9">
        <v>41.52738565782044</v>
      </c>
      <c r="Y9" s="9">
        <v>2422.150637250948</v>
      </c>
      <c r="Z9" s="9">
        <v>530.2090546099863</v>
      </c>
      <c r="AA9" s="9">
        <v>154.0204081632653</v>
      </c>
      <c r="AB9" s="9">
        <v>299.5741994030814</v>
      </c>
      <c r="AC9" s="9">
        <v>124.13280229087682</v>
      </c>
      <c r="AD9" s="9">
        <v>4479.813862224732</v>
      </c>
      <c r="AE9" s="9">
        <v>695.7156045817537</v>
      </c>
      <c r="AF9" s="9">
        <v>1741.822501411632</v>
      </c>
      <c r="AG9" s="9">
        <v>854.728397999516</v>
      </c>
      <c r="AH9" s="9">
        <v>299.96319674114704</v>
      </c>
      <c r="AI9" s="9">
        <v>3860.4074211502784</v>
      </c>
      <c r="AJ9" s="9">
        <v>2325.6426595143985</v>
      </c>
      <c r="AK9" s="9">
        <v>1059.3641243849318</v>
      </c>
      <c r="AL9" s="9">
        <v>316.342861176091</v>
      </c>
      <c r="AM9" s="9">
        <v>119.41297088005163</v>
      </c>
      <c r="AN9" s="9">
        <v>761.5812494958457</v>
      </c>
      <c r="AO9" s="9">
        <v>1012.2348713398403</v>
      </c>
      <c r="AP9" s="9">
        <v>5907.353916270065</v>
      </c>
      <c r="AQ9" s="9">
        <v>6926.373646850045</v>
      </c>
      <c r="AR9" s="9">
        <v>447.49458740017747</v>
      </c>
      <c r="AS9" s="9">
        <v>69.81447124304268</v>
      </c>
      <c r="AT9" s="9">
        <v>46.363749294184075</v>
      </c>
      <c r="AU9" s="9">
        <v>191.1235823183028</v>
      </c>
      <c r="AV9" s="9">
        <v>7681.170037105751</v>
      </c>
      <c r="AW9" s="9">
        <v>5913.767903525047</v>
      </c>
      <c r="AX9" s="9">
        <v>1479.986436234573</v>
      </c>
      <c r="AY9" s="9">
        <v>33.61434217955957</v>
      </c>
      <c r="AZ9" s="9">
        <v>40.91304347826087</v>
      </c>
      <c r="BA9" s="9">
        <v>140.53766233766234</v>
      </c>
      <c r="BB9" s="9">
        <v>34</v>
      </c>
      <c r="BC9" s="9">
        <v>7681.170037105751</v>
      </c>
      <c r="BD9" s="9">
        <v>4621.774050173429</v>
      </c>
      <c r="BE9" s="9">
        <v>849.0562797450996</v>
      </c>
      <c r="BF9" s="9">
        <v>1049.143441961765</v>
      </c>
      <c r="BG9" s="9">
        <v>180.61716544325242</v>
      </c>
      <c r="BH9" s="9">
        <v>486.5299104622086</v>
      </c>
      <c r="BI9" s="9">
        <v>301.6880374284101</v>
      </c>
      <c r="BJ9" s="9">
        <v>180.01050254093732</v>
      </c>
      <c r="BK9" s="9">
        <v>12.35064935064935</v>
      </c>
      <c r="BL9" s="9">
        <v>7681.170037105751</v>
      </c>
      <c r="BM9" s="9">
        <v>3208.678494797128</v>
      </c>
      <c r="BN9" s="9">
        <v>346.39740663063645</v>
      </c>
      <c r="BO9" s="9">
        <v>824.2244978623861</v>
      </c>
      <c r="BP9" s="9">
        <v>13</v>
      </c>
      <c r="BQ9" s="9">
        <v>2553.109651528596</v>
      </c>
      <c r="BR9" s="9">
        <v>678.1843833185449</v>
      </c>
      <c r="BS9" s="9">
        <v>7681.170037105751</v>
      </c>
      <c r="BT9" s="9">
        <v>5646.536153908204</v>
      </c>
      <c r="BU9" s="9">
        <v>1633.5723965475518</v>
      </c>
      <c r="BV9" s="9">
        <v>54.28150358957812</v>
      </c>
      <c r="BW9" s="9">
        <v>31.646753246753246</v>
      </c>
      <c r="BX9" s="9">
        <v>15</v>
      </c>
      <c r="BY9" s="9">
        <v>143.50525127046865</v>
      </c>
      <c r="BZ9" s="9">
        <v>313.13322981366457</v>
      </c>
      <c r="CA9" s="9">
        <v>43.7012987012987</v>
      </c>
      <c r="CB9" s="9">
        <v>61.91304347826087</v>
      </c>
      <c r="CC9" s="9">
        <v>52.89090909090909</v>
      </c>
      <c r="CD9" s="9">
        <v>154.62797854319592</v>
      </c>
      <c r="CE9" s="9">
        <v>7480.022820037106</v>
      </c>
      <c r="CF9" s="9">
        <v>7421.305823989675</v>
      </c>
      <c r="CG9" s="9">
        <v>53.803952569169965</v>
      </c>
      <c r="CH9" s="9">
        <v>4.913043478260869</v>
      </c>
      <c r="CI9" s="9">
        <v>208.18465757844638</v>
      </c>
      <c r="CJ9" s="9">
        <v>7147.9916673388725</v>
      </c>
      <c r="CK9" s="9">
        <v>1535.5934701944018</v>
      </c>
      <c r="CL9" s="9">
        <v>289.755214971364</v>
      </c>
      <c r="CM9" s="9">
        <v>5554.378329434541</v>
      </c>
      <c r="CN9" s="9">
        <v>803.4434943938049</v>
      </c>
      <c r="CO9" s="9">
        <v>1778.5320238767445</v>
      </c>
      <c r="CP9" s="9">
        <v>696.8797491328547</v>
      </c>
      <c r="CQ9" s="9">
        <v>237.0683149148988</v>
      </c>
      <c r="CR9" s="9">
        <v>58.00163345970799</v>
      </c>
      <c r="CS9" s="9">
        <v>27</v>
      </c>
      <c r="CT9" s="9">
        <v>5554.378329434541</v>
      </c>
      <c r="CU9" s="9">
        <v>1953.4531136565297</v>
      </c>
      <c r="CV9" s="9">
        <v>1244.0262281197065</v>
      </c>
      <c r="CW9" s="9">
        <v>191.31304347826088</v>
      </c>
      <c r="CX9" s="9">
        <v>196.72065015729612</v>
      </c>
      <c r="CY9" s="9">
        <v>237.7397596192627</v>
      </c>
      <c r="CZ9" s="9">
        <v>83.6534322820037</v>
      </c>
      <c r="DA9" s="9">
        <v>237.0683149148988</v>
      </c>
      <c r="DB9" s="9">
        <v>71.22955553763006</v>
      </c>
      <c r="DC9" s="9">
        <v>60.91467693796886</v>
      </c>
      <c r="DD9" s="9">
        <v>21</v>
      </c>
      <c r="DE9" s="9">
        <v>3336.856900863112</v>
      </c>
      <c r="DF9" s="9">
        <v>230.35449302250544</v>
      </c>
      <c r="DG9" s="9">
        <v>783.9711744776962</v>
      </c>
      <c r="DH9" s="9">
        <v>564.514939098169</v>
      </c>
      <c r="DI9" s="9">
        <v>1176.1338186658063</v>
      </c>
      <c r="DJ9" s="9">
        <v>581.8824755989352</v>
      </c>
      <c r="DK9" s="9">
        <v>3336.856900863112</v>
      </c>
      <c r="DL9" s="9">
        <v>205.19367992256193</v>
      </c>
      <c r="DM9" s="9">
        <v>35.96499153020892</v>
      </c>
      <c r="DN9" s="9">
        <v>149.13706945228685</v>
      </c>
      <c r="DO9" s="9">
        <v>16</v>
      </c>
      <c r="DP9" s="9">
        <v>55.3165120593692</v>
      </c>
      <c r="DQ9" s="9">
        <v>434.8178712591756</v>
      </c>
      <c r="DR9" s="9">
        <v>405.14647898685166</v>
      </c>
      <c r="DS9" s="9">
        <v>112.71233766233766</v>
      </c>
      <c r="DT9" s="9">
        <v>336.56122852302974</v>
      </c>
      <c r="DU9" s="9">
        <v>58.67556666935549</v>
      </c>
      <c r="DV9" s="9">
        <v>37.85849802371541</v>
      </c>
      <c r="DW9" s="9">
        <v>66.77317496168428</v>
      </c>
      <c r="DX9" s="9">
        <v>135.88130192788577</v>
      </c>
      <c r="DY9" s="9">
        <v>122.12219085262564</v>
      </c>
      <c r="DZ9" s="9">
        <v>183.09962894248608</v>
      </c>
      <c r="EA9" s="9">
        <v>256.8135073001533</v>
      </c>
      <c r="EB9" s="9">
        <v>510.3240864725336</v>
      </c>
      <c r="EC9" s="9">
        <v>214.45877631685084</v>
      </c>
      <c r="ED9" s="9">
        <v>3336.856900863112</v>
      </c>
      <c r="EE9" s="9">
        <v>325.7605791723804</v>
      </c>
      <c r="EF9" s="9">
        <v>428.431769783012</v>
      </c>
      <c r="EG9" s="9">
        <v>282.0639912882149</v>
      </c>
      <c r="EH9" s="9">
        <v>293.64655158506093</v>
      </c>
      <c r="EI9" s="9">
        <v>762.5435145599741</v>
      </c>
      <c r="EJ9" s="9">
        <v>422.9246591917399</v>
      </c>
      <c r="EK9" s="9">
        <v>195.38267322739372</v>
      </c>
      <c r="EL9" s="9">
        <v>250.83952165846577</v>
      </c>
      <c r="EM9" s="9">
        <v>375.2636403968702</v>
      </c>
      <c r="EN9" s="9">
        <v>6493.6388763410505</v>
      </c>
      <c r="EO9" s="9">
        <v>1846.4703153988867</v>
      </c>
      <c r="EP9" s="9">
        <v>1605.9653746874242</v>
      </c>
      <c r="EQ9" s="9">
        <v>901.8565580382351</v>
      </c>
      <c r="ER9" s="9">
        <v>535.8445107687344</v>
      </c>
      <c r="ES9" s="9">
        <v>1603.5021174477697</v>
      </c>
      <c r="ET9" s="9">
        <v>4124.345938533516</v>
      </c>
      <c r="EU9" s="9">
        <v>3592.2297007340485</v>
      </c>
      <c r="EV9" s="9">
        <v>532.1162377994676</v>
      </c>
      <c r="EW9" s="9">
        <v>344.5067355005243</v>
      </c>
      <c r="EX9" s="9">
        <v>187.6095022989433</v>
      </c>
      <c r="EY9" s="9">
        <v>3592.2297007340485</v>
      </c>
      <c r="EZ9" s="9">
        <v>1676.9918811002663</v>
      </c>
      <c r="FA9" s="9">
        <v>1333.3795232717594</v>
      </c>
      <c r="FB9" s="9">
        <v>414.0509841090586</v>
      </c>
      <c r="FC9" s="9">
        <v>157.0681818181818</v>
      </c>
      <c r="FD9" s="9">
        <v>10.73913043478261</v>
      </c>
      <c r="FE9" s="9">
        <v>702.4400822779704</v>
      </c>
      <c r="FF9" s="9">
        <v>575.2531217229975</v>
      </c>
      <c r="FG9" s="9">
        <v>417.3236589497459</v>
      </c>
      <c r="FH9" s="9">
        <v>560.6447729289345</v>
      </c>
      <c r="FI9" s="9">
        <v>418.1784625312576</v>
      </c>
      <c r="FJ9" s="9">
        <v>187.84293377430023</v>
      </c>
      <c r="FK9" s="9">
        <v>151.31631039767686</v>
      </c>
      <c r="FL9" s="9">
        <v>123.99207872872469</v>
      </c>
      <c r="FM9" s="9">
        <v>18.41883116883117</v>
      </c>
      <c r="FN9" s="9">
        <v>178.41883116883116</v>
      </c>
      <c r="FO9" s="9">
        <v>123.6300395256917</v>
      </c>
      <c r="FP9" s="9">
        <v>36.26369282891022</v>
      </c>
      <c r="FQ9" s="9">
        <v>6</v>
      </c>
      <c r="FR9" s="9">
        <v>11.352282810357345</v>
      </c>
      <c r="FS9" s="9">
        <v>81.15460191981931</v>
      </c>
      <c r="FT9" s="9">
        <v>3592.2297007340485</v>
      </c>
      <c r="FU9" s="9">
        <v>88.38469387755102</v>
      </c>
      <c r="FV9" s="9">
        <v>756.8530652577236</v>
      </c>
      <c r="FW9" s="9">
        <v>269.44332096474955</v>
      </c>
      <c r="FX9" s="9">
        <v>181.9953456481407</v>
      </c>
      <c r="FY9" s="9">
        <v>177.41883116883116</v>
      </c>
      <c r="FZ9" s="9">
        <v>73</v>
      </c>
      <c r="GA9" s="9">
        <v>46.35064935064935</v>
      </c>
      <c r="GB9" s="9">
        <v>58.06818181818182</v>
      </c>
      <c r="GC9" s="9">
        <v>303.70983705735256</v>
      </c>
      <c r="GD9" s="9">
        <v>398.7302452206179</v>
      </c>
      <c r="GE9" s="9">
        <v>464.5303016858918</v>
      </c>
      <c r="GF9" s="9">
        <v>1375.5374364765669</v>
      </c>
      <c r="GG9" s="9">
        <v>1016.8258570621924</v>
      </c>
      <c r="GH9" s="9">
        <v>4.945454545454545</v>
      </c>
      <c r="GI9" s="9">
        <v>192</v>
      </c>
      <c r="GJ9" s="9">
        <v>40</v>
      </c>
      <c r="GK9" s="9">
        <v>71.82067032346535</v>
      </c>
      <c r="GL9" s="9">
        <v>49.945454545454545</v>
      </c>
      <c r="GM9" s="9">
        <v>4436.866318464145</v>
      </c>
      <c r="GN9" s="9">
        <v>757.1695087521174</v>
      </c>
      <c r="GO9" s="9">
        <v>1</v>
      </c>
      <c r="GP9" s="9">
        <v>39.64675324675325</v>
      </c>
      <c r="GQ9" s="9">
        <v>389.48800516253937</v>
      </c>
      <c r="GR9" s="9">
        <v>10</v>
      </c>
      <c r="GS9" s="9">
        <v>1944.908800516254</v>
      </c>
      <c r="GT9" s="9">
        <v>404.2540816326531</v>
      </c>
      <c r="GU9" s="9">
        <v>3</v>
      </c>
      <c r="GV9" s="9">
        <v>60.37105751391466</v>
      </c>
      <c r="GW9" s="9">
        <v>781.72096878277</v>
      </c>
      <c r="GX9" s="9">
        <v>45.30714285714285</v>
      </c>
    </row>
    <row r="10" spans="1:206" ht="12.75">
      <c r="A10" s="5" t="s">
        <v>338</v>
      </c>
      <c r="B10" s="9">
        <v>1797.48737659</v>
      </c>
      <c r="C10" s="9">
        <v>10177</v>
      </c>
      <c r="D10" s="9">
        <v>500</v>
      </c>
      <c r="E10" s="9">
        <v>1193</v>
      </c>
      <c r="F10" s="9">
        <v>1261</v>
      </c>
      <c r="G10" s="9">
        <v>1685</v>
      </c>
      <c r="H10" s="9">
        <v>2616</v>
      </c>
      <c r="I10" s="9">
        <v>2082</v>
      </c>
      <c r="J10" s="9">
        <v>840</v>
      </c>
      <c r="K10" s="9">
        <v>1693</v>
      </c>
      <c r="L10" s="9">
        <v>6480</v>
      </c>
      <c r="M10" s="9">
        <v>2004</v>
      </c>
      <c r="N10" s="9">
        <v>5000</v>
      </c>
      <c r="O10" s="9">
        <v>5177</v>
      </c>
      <c r="P10" s="9">
        <v>9937</v>
      </c>
      <c r="Q10" s="9">
        <v>240</v>
      </c>
      <c r="R10" s="9">
        <v>4534</v>
      </c>
      <c r="S10" s="9">
        <v>1462</v>
      </c>
      <c r="T10" s="9">
        <v>1769</v>
      </c>
      <c r="U10" s="9">
        <v>618</v>
      </c>
      <c r="V10" s="9">
        <v>444</v>
      </c>
      <c r="W10" s="9">
        <v>174</v>
      </c>
      <c r="X10" s="9">
        <v>67</v>
      </c>
      <c r="Y10" s="9">
        <v>3208</v>
      </c>
      <c r="Z10" s="9">
        <v>363</v>
      </c>
      <c r="AA10" s="9">
        <v>464</v>
      </c>
      <c r="AB10" s="9">
        <v>317</v>
      </c>
      <c r="AC10" s="9">
        <v>102</v>
      </c>
      <c r="AD10" s="9">
        <v>6008</v>
      </c>
      <c r="AE10" s="9">
        <v>730</v>
      </c>
      <c r="AF10" s="9">
        <v>2125</v>
      </c>
      <c r="AG10" s="9">
        <v>1320</v>
      </c>
      <c r="AH10" s="9">
        <v>359</v>
      </c>
      <c r="AI10" s="9">
        <v>5527</v>
      </c>
      <c r="AJ10" s="9">
        <v>3010</v>
      </c>
      <c r="AK10" s="9">
        <v>1239</v>
      </c>
      <c r="AL10" s="9">
        <v>313</v>
      </c>
      <c r="AM10" s="9">
        <v>88</v>
      </c>
      <c r="AN10" s="9">
        <v>862</v>
      </c>
      <c r="AO10" s="9">
        <v>1157</v>
      </c>
      <c r="AP10" s="9">
        <v>8158</v>
      </c>
      <c r="AQ10" s="9">
        <v>9212</v>
      </c>
      <c r="AR10" s="9">
        <v>543</v>
      </c>
      <c r="AS10" s="9">
        <v>82</v>
      </c>
      <c r="AT10" s="9">
        <v>98</v>
      </c>
      <c r="AU10" s="9">
        <v>242</v>
      </c>
      <c r="AV10" s="9">
        <v>10177</v>
      </c>
      <c r="AW10" s="9">
        <v>7548</v>
      </c>
      <c r="AX10" s="9">
        <v>2224</v>
      </c>
      <c r="AY10" s="9">
        <v>49</v>
      </c>
      <c r="AZ10" s="9">
        <v>24</v>
      </c>
      <c r="BA10" s="9">
        <v>223</v>
      </c>
      <c r="BB10" s="9">
        <v>36</v>
      </c>
      <c r="BC10" s="9">
        <v>10177</v>
      </c>
      <c r="BD10" s="9">
        <v>5909</v>
      </c>
      <c r="BE10" s="9">
        <v>1323</v>
      </c>
      <c r="BF10" s="9">
        <v>1357</v>
      </c>
      <c r="BG10" s="9">
        <v>266</v>
      </c>
      <c r="BH10" s="9">
        <v>641</v>
      </c>
      <c r="BI10" s="9">
        <v>407</v>
      </c>
      <c r="BJ10" s="9">
        <v>252</v>
      </c>
      <c r="BK10" s="9">
        <v>22</v>
      </c>
      <c r="BL10" s="9">
        <v>10177</v>
      </c>
      <c r="BM10" s="9">
        <v>3561</v>
      </c>
      <c r="BN10" s="9">
        <v>544</v>
      </c>
      <c r="BO10" s="9">
        <v>1660</v>
      </c>
      <c r="BP10" s="9">
        <v>16</v>
      </c>
      <c r="BQ10" s="9">
        <v>3309</v>
      </c>
      <c r="BR10" s="9">
        <v>964</v>
      </c>
      <c r="BS10" s="9">
        <v>10177</v>
      </c>
      <c r="BT10" s="9">
        <v>7226</v>
      </c>
      <c r="BU10" s="9">
        <v>2388</v>
      </c>
      <c r="BV10" s="9">
        <v>65</v>
      </c>
      <c r="BW10" s="9">
        <v>40</v>
      </c>
      <c r="BX10" s="9">
        <v>24</v>
      </c>
      <c r="BY10" s="9">
        <v>195</v>
      </c>
      <c r="BZ10" s="9">
        <v>454</v>
      </c>
      <c r="CA10" s="9">
        <v>60</v>
      </c>
      <c r="CB10" s="9">
        <v>66</v>
      </c>
      <c r="CC10" s="9">
        <v>78</v>
      </c>
      <c r="CD10" s="9">
        <v>250</v>
      </c>
      <c r="CE10" s="9">
        <v>9868</v>
      </c>
      <c r="CF10" s="9">
        <v>9811</v>
      </c>
      <c r="CG10" s="9">
        <v>49</v>
      </c>
      <c r="CH10" s="9">
        <v>8</v>
      </c>
      <c r="CI10" s="9">
        <v>2905</v>
      </c>
      <c r="CJ10" s="9">
        <v>6190</v>
      </c>
      <c r="CK10" s="9">
        <v>1359</v>
      </c>
      <c r="CL10" s="9">
        <v>2008</v>
      </c>
      <c r="CM10" s="9">
        <v>7644</v>
      </c>
      <c r="CN10" s="9">
        <v>1080</v>
      </c>
      <c r="CO10" s="9">
        <v>2384</v>
      </c>
      <c r="CP10" s="9">
        <v>1415</v>
      </c>
      <c r="CQ10" s="9">
        <v>324</v>
      </c>
      <c r="CR10" s="9">
        <v>74</v>
      </c>
      <c r="CS10" s="9">
        <v>21</v>
      </c>
      <c r="CT10" s="9">
        <v>7644</v>
      </c>
      <c r="CU10" s="9">
        <v>2346</v>
      </c>
      <c r="CV10" s="9">
        <v>1404</v>
      </c>
      <c r="CW10" s="9">
        <v>245</v>
      </c>
      <c r="CX10" s="9">
        <v>275</v>
      </c>
      <c r="CY10" s="9">
        <v>274</v>
      </c>
      <c r="CZ10" s="9">
        <v>148</v>
      </c>
      <c r="DA10" s="9">
        <v>324</v>
      </c>
      <c r="DB10" s="9">
        <v>74</v>
      </c>
      <c r="DC10" s="9">
        <v>89</v>
      </c>
      <c r="DD10" s="9">
        <v>13</v>
      </c>
      <c r="DE10" s="9">
        <v>4953</v>
      </c>
      <c r="DF10" s="9">
        <v>383</v>
      </c>
      <c r="DG10" s="9">
        <v>1107</v>
      </c>
      <c r="DH10" s="9">
        <v>792</v>
      </c>
      <c r="DI10" s="9">
        <v>1675</v>
      </c>
      <c r="DJ10" s="9">
        <v>996</v>
      </c>
      <c r="DK10" s="9">
        <v>4953</v>
      </c>
      <c r="DL10" s="9">
        <v>335</v>
      </c>
      <c r="DM10" s="9">
        <v>48</v>
      </c>
      <c r="DN10" s="9">
        <v>170</v>
      </c>
      <c r="DO10" s="9">
        <v>27</v>
      </c>
      <c r="DP10" s="9">
        <v>43</v>
      </c>
      <c r="DQ10" s="9">
        <v>509</v>
      </c>
      <c r="DR10" s="9">
        <v>611</v>
      </c>
      <c r="DS10" s="9">
        <v>277</v>
      </c>
      <c r="DT10" s="9">
        <v>643</v>
      </c>
      <c r="DU10" s="9">
        <v>105</v>
      </c>
      <c r="DV10" s="9">
        <v>51</v>
      </c>
      <c r="DW10" s="9">
        <v>75</v>
      </c>
      <c r="DX10" s="9">
        <v>233</v>
      </c>
      <c r="DY10" s="9">
        <v>163</v>
      </c>
      <c r="DZ10" s="9">
        <v>222</v>
      </c>
      <c r="EA10" s="9">
        <v>481</v>
      </c>
      <c r="EB10" s="9">
        <v>705</v>
      </c>
      <c r="EC10" s="9">
        <v>255</v>
      </c>
      <c r="ED10" s="9">
        <v>4953</v>
      </c>
      <c r="EE10" s="9">
        <v>627</v>
      </c>
      <c r="EF10" s="9">
        <v>743</v>
      </c>
      <c r="EG10" s="9">
        <v>459</v>
      </c>
      <c r="EH10" s="9">
        <v>432</v>
      </c>
      <c r="EI10" s="9">
        <v>990</v>
      </c>
      <c r="EJ10" s="9">
        <v>528</v>
      </c>
      <c r="EK10" s="9">
        <v>300</v>
      </c>
      <c r="EL10" s="9">
        <v>324</v>
      </c>
      <c r="EM10" s="9">
        <v>550</v>
      </c>
      <c r="EN10" s="9">
        <v>8484</v>
      </c>
      <c r="EO10" s="9">
        <v>1977</v>
      </c>
      <c r="EP10" s="9">
        <v>1838</v>
      </c>
      <c r="EQ10" s="9">
        <v>1315</v>
      </c>
      <c r="ER10" s="9">
        <v>713</v>
      </c>
      <c r="ES10" s="9">
        <v>2641</v>
      </c>
      <c r="ET10" s="9">
        <v>5541</v>
      </c>
      <c r="EU10" s="9">
        <v>4534</v>
      </c>
      <c r="EV10" s="9">
        <v>1007</v>
      </c>
      <c r="EW10" s="9">
        <v>900</v>
      </c>
      <c r="EX10" s="9">
        <v>107</v>
      </c>
      <c r="EY10" s="9">
        <v>4534</v>
      </c>
      <c r="EZ10" s="9">
        <v>3006</v>
      </c>
      <c r="FA10" s="9">
        <v>909</v>
      </c>
      <c r="FB10" s="9">
        <v>292</v>
      </c>
      <c r="FC10" s="9">
        <v>273</v>
      </c>
      <c r="FD10" s="9">
        <v>54</v>
      </c>
      <c r="FE10" s="9">
        <v>599</v>
      </c>
      <c r="FF10" s="9">
        <v>863</v>
      </c>
      <c r="FG10" s="9">
        <v>373</v>
      </c>
      <c r="FH10" s="9">
        <v>872</v>
      </c>
      <c r="FI10" s="9">
        <v>612</v>
      </c>
      <c r="FJ10" s="9">
        <v>249</v>
      </c>
      <c r="FK10" s="9">
        <v>215</v>
      </c>
      <c r="FL10" s="9">
        <v>146</v>
      </c>
      <c r="FM10" s="9">
        <v>21</v>
      </c>
      <c r="FN10" s="9">
        <v>216</v>
      </c>
      <c r="FO10" s="9">
        <v>144</v>
      </c>
      <c r="FP10" s="9">
        <v>60</v>
      </c>
      <c r="FQ10" s="9">
        <v>0</v>
      </c>
      <c r="FR10" s="9">
        <v>25</v>
      </c>
      <c r="FS10" s="9">
        <v>139</v>
      </c>
      <c r="FT10" s="9">
        <v>4534</v>
      </c>
      <c r="FU10" s="9">
        <v>116</v>
      </c>
      <c r="FV10" s="9">
        <v>1034</v>
      </c>
      <c r="FW10" s="9">
        <v>373</v>
      </c>
      <c r="FX10" s="9">
        <v>230</v>
      </c>
      <c r="FY10" s="9">
        <v>214</v>
      </c>
      <c r="FZ10" s="9">
        <v>87</v>
      </c>
      <c r="GA10" s="9">
        <v>48</v>
      </c>
      <c r="GB10" s="9">
        <v>79</v>
      </c>
      <c r="GC10" s="9">
        <v>273</v>
      </c>
      <c r="GD10" s="9">
        <v>326</v>
      </c>
      <c r="GE10" s="9">
        <v>429</v>
      </c>
      <c r="GF10" s="9">
        <v>1306</v>
      </c>
      <c r="GG10" s="9">
        <v>1048</v>
      </c>
      <c r="GH10" s="9">
        <v>4</v>
      </c>
      <c r="GI10" s="9">
        <v>98</v>
      </c>
      <c r="GJ10" s="9">
        <v>64</v>
      </c>
      <c r="GK10" s="9">
        <v>57</v>
      </c>
      <c r="GL10" s="9">
        <v>35</v>
      </c>
      <c r="GM10" s="9">
        <v>6418</v>
      </c>
      <c r="GN10" s="9">
        <v>1469</v>
      </c>
      <c r="GO10" s="9">
        <v>5</v>
      </c>
      <c r="GP10" s="9">
        <v>27</v>
      </c>
      <c r="GQ10" s="9">
        <v>746</v>
      </c>
      <c r="GR10" s="9">
        <v>29</v>
      </c>
      <c r="GS10" s="9">
        <v>2690</v>
      </c>
      <c r="GT10" s="9">
        <v>485</v>
      </c>
      <c r="GU10" s="9">
        <v>6</v>
      </c>
      <c r="GV10" s="9">
        <v>52</v>
      </c>
      <c r="GW10" s="9">
        <v>830</v>
      </c>
      <c r="GX10" s="9">
        <v>79</v>
      </c>
    </row>
    <row r="11" spans="1:206" ht="12.75">
      <c r="A11" s="5" t="s">
        <v>339</v>
      </c>
      <c r="B11" s="9">
        <v>2590.69709173</v>
      </c>
      <c r="C11" s="9">
        <v>11205.937457279562</v>
      </c>
      <c r="D11" s="9">
        <v>688.7566643882434</v>
      </c>
      <c r="E11" s="9">
        <v>1422.689166097061</v>
      </c>
      <c r="F11" s="9">
        <v>1612.2218045112782</v>
      </c>
      <c r="G11" s="9">
        <v>2131.8978127136024</v>
      </c>
      <c r="H11" s="9">
        <v>2516.4183185235815</v>
      </c>
      <c r="I11" s="9">
        <v>1980.9627477785373</v>
      </c>
      <c r="J11" s="9">
        <v>852.990943267259</v>
      </c>
      <c r="K11" s="9">
        <v>2111.445830485304</v>
      </c>
      <c r="L11" s="9">
        <v>7087.707450444292</v>
      </c>
      <c r="M11" s="9">
        <v>2006.784176349966</v>
      </c>
      <c r="N11" s="9">
        <v>5458.231715652769</v>
      </c>
      <c r="O11" s="9">
        <v>5747.705741626794</v>
      </c>
      <c r="P11" s="9">
        <v>10956.430963773068</v>
      </c>
      <c r="Q11" s="9">
        <v>249.5064935064935</v>
      </c>
      <c r="R11" s="9">
        <v>4903.819207108681</v>
      </c>
      <c r="S11" s="9">
        <v>1567.091934381408</v>
      </c>
      <c r="T11" s="9">
        <v>1811.8658578263842</v>
      </c>
      <c r="U11" s="9">
        <v>708.1891660970608</v>
      </c>
      <c r="V11" s="9">
        <v>551.3214285714286</v>
      </c>
      <c r="W11" s="9">
        <v>188.35082023239917</v>
      </c>
      <c r="X11" s="9">
        <v>77</v>
      </c>
      <c r="Y11" s="9">
        <v>2973.197197539303</v>
      </c>
      <c r="Z11" s="9">
        <v>746.5876623376623</v>
      </c>
      <c r="AA11" s="9">
        <v>493.60406698564594</v>
      </c>
      <c r="AB11" s="9">
        <v>422.37423103212575</v>
      </c>
      <c r="AC11" s="9">
        <v>160.02323991797675</v>
      </c>
      <c r="AD11" s="9">
        <v>5721.346889952153</v>
      </c>
      <c r="AE11" s="9">
        <v>1131.847915242652</v>
      </c>
      <c r="AF11" s="9">
        <v>2235.940704032809</v>
      </c>
      <c r="AG11" s="9">
        <v>1231.975051264525</v>
      </c>
      <c r="AH11" s="9">
        <v>304.0555365686945</v>
      </c>
      <c r="AI11" s="9">
        <v>6011.413533834587</v>
      </c>
      <c r="AJ11" s="9">
        <v>3339.188140806562</v>
      </c>
      <c r="AK11" s="9">
        <v>1336.4588174982912</v>
      </c>
      <c r="AL11" s="9">
        <v>402.52614490772385</v>
      </c>
      <c r="AM11" s="9">
        <v>116.35082023239919</v>
      </c>
      <c r="AN11" s="9">
        <v>925.0751879699249</v>
      </c>
      <c r="AO11" s="9">
        <v>1183.284005468216</v>
      </c>
      <c r="AP11" s="9">
        <v>9097.578263841422</v>
      </c>
      <c r="AQ11" s="9">
        <v>10229.426008202325</v>
      </c>
      <c r="AR11" s="9">
        <v>555.5533151059467</v>
      </c>
      <c r="AS11" s="9">
        <v>89.96770334928229</v>
      </c>
      <c r="AT11" s="9">
        <v>72.4090909090909</v>
      </c>
      <c r="AU11" s="9">
        <v>258.58133971291863</v>
      </c>
      <c r="AV11" s="9">
        <v>11205.937457279562</v>
      </c>
      <c r="AW11" s="9">
        <v>8616.918489405332</v>
      </c>
      <c r="AX11" s="9">
        <v>1753.7848598769651</v>
      </c>
      <c r="AY11" s="9">
        <v>90.4090909090909</v>
      </c>
      <c r="AZ11" s="9">
        <v>215.35714285714286</v>
      </c>
      <c r="BA11" s="9">
        <v>356.7047163362953</v>
      </c>
      <c r="BB11" s="9">
        <v>101.76315789473685</v>
      </c>
      <c r="BC11" s="9">
        <v>11205.937457279562</v>
      </c>
      <c r="BD11" s="9">
        <v>6681.138243335612</v>
      </c>
      <c r="BE11" s="9">
        <v>1248.7315447710184</v>
      </c>
      <c r="BF11" s="9">
        <v>1562.2218045112782</v>
      </c>
      <c r="BG11" s="9">
        <v>271.5780929596719</v>
      </c>
      <c r="BH11" s="9">
        <v>520.3258714969242</v>
      </c>
      <c r="BI11" s="9">
        <v>329.5</v>
      </c>
      <c r="BJ11" s="9">
        <v>563.4419002050581</v>
      </c>
      <c r="BK11" s="9">
        <v>29</v>
      </c>
      <c r="BL11" s="9">
        <v>11205.937457279562</v>
      </c>
      <c r="BM11" s="9">
        <v>3698.0182843472317</v>
      </c>
      <c r="BN11" s="9">
        <v>1777.6508885850992</v>
      </c>
      <c r="BO11" s="9">
        <v>967.0046138072454</v>
      </c>
      <c r="BP11" s="9">
        <v>49</v>
      </c>
      <c r="BQ11" s="9">
        <v>3770.841592617908</v>
      </c>
      <c r="BR11" s="9">
        <v>853.6298701298701</v>
      </c>
      <c r="BS11" s="9">
        <v>11205.937457279562</v>
      </c>
      <c r="BT11" s="9">
        <v>8411.423957621326</v>
      </c>
      <c r="BU11" s="9">
        <v>1864.4055023923445</v>
      </c>
      <c r="BV11" s="9">
        <v>62.58766233766234</v>
      </c>
      <c r="BW11" s="9">
        <v>53.40909090909091</v>
      </c>
      <c r="BX11" s="9">
        <v>52</v>
      </c>
      <c r="BY11" s="9">
        <v>484.7047163362953</v>
      </c>
      <c r="BZ11" s="9">
        <v>812.1112440191388</v>
      </c>
      <c r="CA11" s="9">
        <v>168</v>
      </c>
      <c r="CB11" s="9">
        <v>181.9677033492823</v>
      </c>
      <c r="CC11" s="9">
        <v>166.70796308954203</v>
      </c>
      <c r="CD11" s="9">
        <v>295.43557758031443</v>
      </c>
      <c r="CE11" s="9">
        <v>10803.356117566645</v>
      </c>
      <c r="CF11" s="9">
        <v>10613.177546138073</v>
      </c>
      <c r="CG11" s="9">
        <v>165.17857142857142</v>
      </c>
      <c r="CH11" s="9">
        <v>25</v>
      </c>
      <c r="CI11" s="9">
        <v>826.8515037593985</v>
      </c>
      <c r="CJ11" s="9">
        <v>9636.624401913876</v>
      </c>
      <c r="CK11" s="9">
        <v>2040.5647641831854</v>
      </c>
      <c r="CL11" s="9">
        <v>986.1990772385509</v>
      </c>
      <c r="CM11" s="9">
        <v>8241.500683527</v>
      </c>
      <c r="CN11" s="9">
        <v>1328.0757006151741</v>
      </c>
      <c r="CO11" s="9">
        <v>3143.1059466848938</v>
      </c>
      <c r="CP11" s="9">
        <v>1045.1672932330828</v>
      </c>
      <c r="CQ11" s="9">
        <v>321.7599111414901</v>
      </c>
      <c r="CR11" s="9">
        <v>122.0651059466849</v>
      </c>
      <c r="CS11" s="9">
        <v>25</v>
      </c>
      <c r="CT11" s="9">
        <v>8241.500683527</v>
      </c>
      <c r="CU11" s="9">
        <v>2256.3267259056734</v>
      </c>
      <c r="CV11" s="9">
        <v>1321.2840054682158</v>
      </c>
      <c r="CW11" s="9">
        <v>209.93215994531784</v>
      </c>
      <c r="CX11" s="9">
        <v>275.788961038961</v>
      </c>
      <c r="CY11" s="9">
        <v>322.7599111414901</v>
      </c>
      <c r="CZ11" s="9">
        <v>126.56168831168831</v>
      </c>
      <c r="DA11" s="9">
        <v>321.7599111414901</v>
      </c>
      <c r="DB11" s="9">
        <v>88</v>
      </c>
      <c r="DC11" s="9">
        <v>74.35082023239917</v>
      </c>
      <c r="DD11" s="9">
        <v>18</v>
      </c>
      <c r="DE11" s="9">
        <v>5638.414046479836</v>
      </c>
      <c r="DF11" s="9">
        <v>404.07194121667806</v>
      </c>
      <c r="DG11" s="9">
        <v>1277.092105263158</v>
      </c>
      <c r="DH11" s="9">
        <v>893.526144907724</v>
      </c>
      <c r="DI11" s="9">
        <v>2147.567156527683</v>
      </c>
      <c r="DJ11" s="9">
        <v>916.1566985645933</v>
      </c>
      <c r="DK11" s="9">
        <v>5638.414046479836</v>
      </c>
      <c r="DL11" s="9">
        <v>316.48820915926177</v>
      </c>
      <c r="DM11" s="9">
        <v>72</v>
      </c>
      <c r="DN11" s="9">
        <v>357.85423786739574</v>
      </c>
      <c r="DO11" s="9">
        <v>26.38311688311688</v>
      </c>
      <c r="DP11" s="9">
        <v>42</v>
      </c>
      <c r="DQ11" s="9">
        <v>551.5034176349966</v>
      </c>
      <c r="DR11" s="9">
        <v>725.2371838687628</v>
      </c>
      <c r="DS11" s="9">
        <v>329.7276144907724</v>
      </c>
      <c r="DT11" s="9">
        <v>925.9653110047847</v>
      </c>
      <c r="DU11" s="9">
        <v>69</v>
      </c>
      <c r="DV11" s="9">
        <v>49</v>
      </c>
      <c r="DW11" s="9">
        <v>94.64644565960356</v>
      </c>
      <c r="DX11" s="9">
        <v>146.52939166097062</v>
      </c>
      <c r="DY11" s="9">
        <v>197.113978127136</v>
      </c>
      <c r="DZ11" s="9">
        <v>266.2012987012987</v>
      </c>
      <c r="EA11" s="9">
        <v>470.983937115516</v>
      </c>
      <c r="EB11" s="9">
        <v>696.6724196855776</v>
      </c>
      <c r="EC11" s="9">
        <v>301.10748462064254</v>
      </c>
      <c r="ED11" s="9">
        <v>5638.414046479836</v>
      </c>
      <c r="EE11" s="9">
        <v>704.1370471633629</v>
      </c>
      <c r="EF11" s="9">
        <v>660.8089542036911</v>
      </c>
      <c r="EG11" s="9">
        <v>479.169002050581</v>
      </c>
      <c r="EH11" s="9">
        <v>464.1107313738892</v>
      </c>
      <c r="EI11" s="9">
        <v>964.7780246069719</v>
      </c>
      <c r="EJ11" s="9">
        <v>576.6787423103212</v>
      </c>
      <c r="EK11" s="9">
        <v>407.88328776486674</v>
      </c>
      <c r="EL11" s="9">
        <v>552.5584415584415</v>
      </c>
      <c r="EM11" s="9">
        <v>828.2898154477102</v>
      </c>
      <c r="EN11" s="9">
        <v>9094.491626794259</v>
      </c>
      <c r="EO11" s="9">
        <v>2405.9101161995895</v>
      </c>
      <c r="EP11" s="9">
        <v>2281.157723855092</v>
      </c>
      <c r="EQ11" s="9">
        <v>1324.2776828434723</v>
      </c>
      <c r="ER11" s="9">
        <v>726.3771360218728</v>
      </c>
      <c r="ES11" s="9">
        <v>2356.768967874231</v>
      </c>
      <c r="ET11" s="9">
        <v>5680.191216678059</v>
      </c>
      <c r="EU11" s="9">
        <v>4903.819207108681</v>
      </c>
      <c r="EV11" s="9">
        <v>776.372009569378</v>
      </c>
      <c r="EW11" s="9">
        <v>676.9102870813397</v>
      </c>
      <c r="EX11" s="9">
        <v>99.46172248803828</v>
      </c>
      <c r="EY11" s="9">
        <v>4903.819207108681</v>
      </c>
      <c r="EZ11" s="9">
        <v>1732.6886534518114</v>
      </c>
      <c r="FA11" s="9">
        <v>1300.834928229665</v>
      </c>
      <c r="FB11" s="9">
        <v>839.3508202323992</v>
      </c>
      <c r="FC11" s="9">
        <v>1008.7662337662338</v>
      </c>
      <c r="FD11" s="9">
        <v>22.17857142857143</v>
      </c>
      <c r="FE11" s="9">
        <v>669.0784347231715</v>
      </c>
      <c r="FF11" s="9">
        <v>898.0134996582365</v>
      </c>
      <c r="FG11" s="9">
        <v>401.0328092959672</v>
      </c>
      <c r="FH11" s="9">
        <v>746.8128844839372</v>
      </c>
      <c r="FI11" s="9">
        <v>655.7021531100479</v>
      </c>
      <c r="FJ11" s="9">
        <v>206.40584415584414</v>
      </c>
      <c r="FK11" s="9">
        <v>233.28622693096375</v>
      </c>
      <c r="FL11" s="9">
        <v>249.22727272727272</v>
      </c>
      <c r="FM11" s="9">
        <v>23</v>
      </c>
      <c r="FN11" s="9">
        <v>326.7599111414901</v>
      </c>
      <c r="FO11" s="9">
        <v>174.20454545454544</v>
      </c>
      <c r="FP11" s="9">
        <v>95.17857142857143</v>
      </c>
      <c r="FQ11" s="9">
        <v>13</v>
      </c>
      <c r="FR11" s="9">
        <v>14.967703349282296</v>
      </c>
      <c r="FS11" s="9">
        <v>197.14935064935065</v>
      </c>
      <c r="FT11" s="9">
        <v>4903.819207108681</v>
      </c>
      <c r="FU11" s="9">
        <v>157.7922077922078</v>
      </c>
      <c r="FV11" s="9">
        <v>1326.8679084073822</v>
      </c>
      <c r="FW11" s="9">
        <v>549.3475734791524</v>
      </c>
      <c r="FX11" s="9">
        <v>286.54904306220095</v>
      </c>
      <c r="FY11" s="9">
        <v>326.7599111414901</v>
      </c>
      <c r="FZ11" s="9">
        <v>146.3508202323992</v>
      </c>
      <c r="GA11" s="9">
        <v>62</v>
      </c>
      <c r="GB11" s="9">
        <v>118.4090909090909</v>
      </c>
      <c r="GC11" s="9">
        <v>303.7599111414901</v>
      </c>
      <c r="GD11" s="9">
        <v>365.31852358168146</v>
      </c>
      <c r="GE11" s="9">
        <v>437.6724196855776</v>
      </c>
      <c r="GF11" s="9">
        <v>1361.0757006151741</v>
      </c>
      <c r="GG11" s="9">
        <v>938.5816814764183</v>
      </c>
      <c r="GH11" s="9">
        <v>12</v>
      </c>
      <c r="GI11" s="9">
        <v>165</v>
      </c>
      <c r="GJ11" s="9">
        <v>118.20454545454545</v>
      </c>
      <c r="GK11" s="9">
        <v>79.76315789473685</v>
      </c>
      <c r="GL11" s="9">
        <v>47.526315789473685</v>
      </c>
      <c r="GM11" s="9">
        <v>7319.035372522215</v>
      </c>
      <c r="GN11" s="9">
        <v>1367.1619958988379</v>
      </c>
      <c r="GO11" s="9">
        <v>2</v>
      </c>
      <c r="GP11" s="9">
        <v>34.139952153110045</v>
      </c>
      <c r="GQ11" s="9">
        <v>739.7539302802461</v>
      </c>
      <c r="GR11" s="9">
        <v>50.40909090909091</v>
      </c>
      <c r="GS11" s="9">
        <v>2855.4239576213263</v>
      </c>
      <c r="GT11" s="9">
        <v>681.0586124401914</v>
      </c>
      <c r="GU11" s="9">
        <v>7</v>
      </c>
      <c r="GV11" s="9">
        <v>179.20454545454544</v>
      </c>
      <c r="GW11" s="9">
        <v>1321.2956254272044</v>
      </c>
      <c r="GX11" s="9">
        <v>81.58766233766234</v>
      </c>
    </row>
    <row r="12" spans="1:206" ht="12.75">
      <c r="A12" s="5" t="s">
        <v>340</v>
      </c>
      <c r="B12" s="9">
        <v>4.48696102954</v>
      </c>
      <c r="C12" s="9">
        <v>14098.601797039124</v>
      </c>
      <c r="D12" s="9">
        <v>843.7816284810856</v>
      </c>
      <c r="E12" s="9">
        <v>1536.8108424327697</v>
      </c>
      <c r="F12" s="9">
        <v>3008.172536944698</v>
      </c>
      <c r="G12" s="9">
        <v>2945.3954002253677</v>
      </c>
      <c r="H12" s="9">
        <v>2700.334402578908</v>
      </c>
      <c r="I12" s="9">
        <v>1885.760105139164</v>
      </c>
      <c r="J12" s="9">
        <v>1178.3468812371304</v>
      </c>
      <c r="K12" s="9">
        <v>2380.5924709138562</v>
      </c>
      <c r="L12" s="9">
        <v>9371.973641282628</v>
      </c>
      <c r="M12" s="9">
        <v>2346.035684842642</v>
      </c>
      <c r="N12" s="9">
        <v>6965.0546812827615</v>
      </c>
      <c r="O12" s="9">
        <v>7133.547115756362</v>
      </c>
      <c r="P12" s="9">
        <v>13697.477779813411</v>
      </c>
      <c r="Q12" s="9">
        <v>401.1240172257122</v>
      </c>
      <c r="R12" s="9">
        <v>6790.465821806057</v>
      </c>
      <c r="S12" s="9">
        <v>2889.586909102516</v>
      </c>
      <c r="T12" s="9">
        <v>2146.6607900033055</v>
      </c>
      <c r="U12" s="9">
        <v>915.6149557253759</v>
      </c>
      <c r="V12" s="9">
        <v>540.426428088803</v>
      </c>
      <c r="W12" s="9">
        <v>215.02321101012473</v>
      </c>
      <c r="X12" s="9">
        <v>83.15352787593118</v>
      </c>
      <c r="Y12" s="9">
        <v>3161.57248732188</v>
      </c>
      <c r="Z12" s="9">
        <v>1786.655343261282</v>
      </c>
      <c r="AA12" s="9">
        <v>549.5244376494808</v>
      </c>
      <c r="AB12" s="9">
        <v>1079.387366371099</v>
      </c>
      <c r="AC12" s="9">
        <v>84.05807961285785</v>
      </c>
      <c r="AD12" s="9">
        <v>4873.45513992312</v>
      </c>
      <c r="AE12" s="9">
        <v>3103.0614832340993</v>
      </c>
      <c r="AF12" s="9">
        <v>2729.6522008561597</v>
      </c>
      <c r="AG12" s="9">
        <v>792.5260680073493</v>
      </c>
      <c r="AH12" s="9">
        <v>165.2260697084486</v>
      </c>
      <c r="AI12" s="9">
        <v>6718.9680156236345</v>
      </c>
      <c r="AJ12" s="9">
        <v>4518.788150494775</v>
      </c>
      <c r="AK12" s="9">
        <v>2012.6299929777567</v>
      </c>
      <c r="AL12" s="9">
        <v>656.0211349949255</v>
      </c>
      <c r="AM12" s="9">
        <v>192.19450294803238</v>
      </c>
      <c r="AN12" s="9">
        <v>1473.9608816870282</v>
      </c>
      <c r="AO12" s="9">
        <v>1654.3093029441247</v>
      </c>
      <c r="AP12" s="9">
        <v>10970.33161240797</v>
      </c>
      <c r="AQ12" s="9">
        <v>13025.098467313945</v>
      </c>
      <c r="AR12" s="9">
        <v>584.9491473640915</v>
      </c>
      <c r="AS12" s="9">
        <v>96.14449448856229</v>
      </c>
      <c r="AT12" s="9">
        <v>105.40432862332543</v>
      </c>
      <c r="AU12" s="9">
        <v>287.00535924919853</v>
      </c>
      <c r="AV12" s="9">
        <v>14098.601797039124</v>
      </c>
      <c r="AW12" s="9">
        <v>11243.402819208062</v>
      </c>
      <c r="AX12" s="9">
        <v>1129.3566140643532</v>
      </c>
      <c r="AY12" s="9">
        <v>122.02478091464407</v>
      </c>
      <c r="AZ12" s="9">
        <v>772.0569818378568</v>
      </c>
      <c r="BA12" s="9">
        <v>468.72161787560145</v>
      </c>
      <c r="BB12" s="9">
        <v>226.48442898629025</v>
      </c>
      <c r="BC12" s="9">
        <v>14098.601797039124</v>
      </c>
      <c r="BD12" s="9">
        <v>9038.71210019333</v>
      </c>
      <c r="BE12" s="9">
        <v>1097.679267456877</v>
      </c>
      <c r="BF12" s="9">
        <v>1825.72540445551</v>
      </c>
      <c r="BG12" s="9">
        <v>358.9938663339043</v>
      </c>
      <c r="BH12" s="9">
        <v>337.5515097908278</v>
      </c>
      <c r="BI12" s="9">
        <v>242.1070329598239</v>
      </c>
      <c r="BJ12" s="9">
        <v>1139.9774014919203</v>
      </c>
      <c r="BK12" s="9">
        <v>57.85521435692921</v>
      </c>
      <c r="BL12" s="9">
        <v>14098.601797039124</v>
      </c>
      <c r="BM12" s="9">
        <v>4273.170270928855</v>
      </c>
      <c r="BN12" s="9">
        <v>1591.9819855093879</v>
      </c>
      <c r="BO12" s="9">
        <v>973.4432257803236</v>
      </c>
      <c r="BP12" s="9">
        <v>99.16584768465367</v>
      </c>
      <c r="BQ12" s="9">
        <v>5906.6062409154265</v>
      </c>
      <c r="BR12" s="9">
        <v>1103.1175595538102</v>
      </c>
      <c r="BS12" s="9">
        <v>14098.601797039124</v>
      </c>
      <c r="BT12" s="9">
        <v>11028.954552190322</v>
      </c>
      <c r="BU12" s="9">
        <v>1269.7852014984874</v>
      </c>
      <c r="BV12" s="9">
        <v>61.90597014925373</v>
      </c>
      <c r="BW12" s="9">
        <v>107.46448293106302</v>
      </c>
      <c r="BX12" s="9">
        <v>53.50534579263289</v>
      </c>
      <c r="BY12" s="9">
        <v>1145.8103698485527</v>
      </c>
      <c r="BZ12" s="9">
        <v>1630.4006811790885</v>
      </c>
      <c r="CA12" s="9">
        <v>247.70328989720815</v>
      </c>
      <c r="CB12" s="9">
        <v>642.2697956712373</v>
      </c>
      <c r="CC12" s="9">
        <v>378.5390466757265</v>
      </c>
      <c r="CD12" s="9">
        <v>361.8885489349165</v>
      </c>
      <c r="CE12" s="9">
        <v>13585.803347204695</v>
      </c>
      <c r="CF12" s="9">
        <v>13170.978035317714</v>
      </c>
      <c r="CG12" s="9">
        <v>355.9586452203147</v>
      </c>
      <c r="CH12" s="9">
        <v>58.86666666666667</v>
      </c>
      <c r="CI12" s="9">
        <v>537.3580915352766</v>
      </c>
      <c r="CJ12" s="9">
        <v>12844.021812700155</v>
      </c>
      <c r="CK12" s="9">
        <v>2999.742923020855</v>
      </c>
      <c r="CL12" s="9">
        <v>1622.1174494324064</v>
      </c>
      <c r="CM12" s="9">
        <v>10539.662444888138</v>
      </c>
      <c r="CN12" s="9">
        <v>1583.7833073828986</v>
      </c>
      <c r="CO12" s="9">
        <v>4300.967650506186</v>
      </c>
      <c r="CP12" s="9">
        <v>700.4560633814048</v>
      </c>
      <c r="CQ12" s="9">
        <v>668.4224751319643</v>
      </c>
      <c r="CR12" s="9">
        <v>191.15620679540916</v>
      </c>
      <c r="CS12" s="9">
        <v>27.49662096756039</v>
      </c>
      <c r="CT12" s="9">
        <v>10539.662444888138</v>
      </c>
      <c r="CU12" s="9">
        <v>3067.3801207227134</v>
      </c>
      <c r="CV12" s="9">
        <v>1296.6703234393792</v>
      </c>
      <c r="CW12" s="9">
        <v>333.82087654373277</v>
      </c>
      <c r="CX12" s="9">
        <v>411.6543865101463</v>
      </c>
      <c r="CY12" s="9">
        <v>689.5743475255377</v>
      </c>
      <c r="CZ12" s="9">
        <v>335.66018670391776</v>
      </c>
      <c r="DA12" s="9">
        <v>668.4224751319643</v>
      </c>
      <c r="DB12" s="9">
        <v>228.33822843822844</v>
      </c>
      <c r="DC12" s="9">
        <v>111.75956580732701</v>
      </c>
      <c r="DD12" s="9">
        <v>68.53333333333333</v>
      </c>
      <c r="DE12" s="9">
        <v>6776.363228065899</v>
      </c>
      <c r="DF12" s="9">
        <v>433.55218678476007</v>
      </c>
      <c r="DG12" s="9">
        <v>1470.306131820579</v>
      </c>
      <c r="DH12" s="9">
        <v>1373.1711097392833</v>
      </c>
      <c r="DI12" s="9">
        <v>2750.9720474112196</v>
      </c>
      <c r="DJ12" s="9">
        <v>748.3617523100578</v>
      </c>
      <c r="DK12" s="9">
        <v>6776.363228065899</v>
      </c>
      <c r="DL12" s="9">
        <v>82.7436706840131</v>
      </c>
      <c r="DM12" s="9">
        <v>39.79954751131222</v>
      </c>
      <c r="DN12" s="9">
        <v>346.9617815519558</v>
      </c>
      <c r="DO12" s="9">
        <v>36.76583185766085</v>
      </c>
      <c r="DP12" s="9">
        <v>81.17347189004269</v>
      </c>
      <c r="DQ12" s="9">
        <v>567.539405245233</v>
      </c>
      <c r="DR12" s="9">
        <v>1286.6334781381436</v>
      </c>
      <c r="DS12" s="9">
        <v>417.56466245845195</v>
      </c>
      <c r="DT12" s="9">
        <v>875.2454102001346</v>
      </c>
      <c r="DU12" s="9">
        <v>206.31982521638383</v>
      </c>
      <c r="DV12" s="9">
        <v>73.1666237776634</v>
      </c>
      <c r="DW12" s="9">
        <v>57.19967244445583</v>
      </c>
      <c r="DX12" s="9">
        <v>221.64329704687248</v>
      </c>
      <c r="DY12" s="9">
        <v>332.5913964033899</v>
      </c>
      <c r="DZ12" s="9">
        <v>352.7098215530638</v>
      </c>
      <c r="EA12" s="9">
        <v>340.02299583566435</v>
      </c>
      <c r="EB12" s="9">
        <v>1160.780506905192</v>
      </c>
      <c r="EC12" s="9">
        <v>297.5018293462657</v>
      </c>
      <c r="ED12" s="9">
        <v>6776.363228065899</v>
      </c>
      <c r="EE12" s="9">
        <v>534.8180631999535</v>
      </c>
      <c r="EF12" s="9">
        <v>891.3615489326046</v>
      </c>
      <c r="EG12" s="9">
        <v>603.5582352539404</v>
      </c>
      <c r="EH12" s="9">
        <v>579.7651045425293</v>
      </c>
      <c r="EI12" s="9">
        <v>878.5665372359084</v>
      </c>
      <c r="EJ12" s="9">
        <v>754.7732068942468</v>
      </c>
      <c r="EK12" s="9">
        <v>758.4959382395768</v>
      </c>
      <c r="EL12" s="9">
        <v>564.5239272565807</v>
      </c>
      <c r="EM12" s="9">
        <v>1210.5006665105584</v>
      </c>
      <c r="EN12" s="9">
        <v>11718.009326125266</v>
      </c>
      <c r="EO12" s="9">
        <v>3661.6545325244447</v>
      </c>
      <c r="EP12" s="9">
        <v>2943.279996890572</v>
      </c>
      <c r="EQ12" s="9">
        <v>1418.7390680361957</v>
      </c>
      <c r="ER12" s="9">
        <v>1056.6154342681293</v>
      </c>
      <c r="ES12" s="9">
        <v>2637.720294405926</v>
      </c>
      <c r="ET12" s="9">
        <v>7143.434609225936</v>
      </c>
      <c r="EU12" s="9">
        <v>6790.465821806057</v>
      </c>
      <c r="EV12" s="9">
        <v>352.9687874198786</v>
      </c>
      <c r="EW12" s="9">
        <v>151.76192604006164</v>
      </c>
      <c r="EX12" s="9">
        <v>201.20686137981698</v>
      </c>
      <c r="EY12" s="9">
        <v>6732.465821806057</v>
      </c>
      <c r="EZ12" s="9">
        <v>705.6973769715834</v>
      </c>
      <c r="FA12" s="9">
        <v>1662.368661148749</v>
      </c>
      <c r="FB12" s="9">
        <v>1509.6708379719832</v>
      </c>
      <c r="FC12" s="9">
        <v>2847.6622790470738</v>
      </c>
      <c r="FD12" s="9">
        <v>7.066666666666666</v>
      </c>
      <c r="FE12" s="9">
        <v>990.0660130735898</v>
      </c>
      <c r="FF12" s="9">
        <v>1899.5208960289262</v>
      </c>
      <c r="FG12" s="9">
        <v>360.72747253283626</v>
      </c>
      <c r="FH12" s="9">
        <v>544.2826814055085</v>
      </c>
      <c r="FI12" s="9">
        <v>537.4115432993729</v>
      </c>
      <c r="FJ12" s="9">
        <v>230.66084023539514</v>
      </c>
      <c r="FK12" s="9">
        <v>409.0061721953474</v>
      </c>
      <c r="FL12" s="9">
        <v>325.7478221725286</v>
      </c>
      <c r="FM12" s="9">
        <v>34.13643361371557</v>
      </c>
      <c r="FN12" s="9">
        <v>608.8618643925579</v>
      </c>
      <c r="FO12" s="9">
        <v>291.3135716712823</v>
      </c>
      <c r="FP12" s="9">
        <v>134.6401352053573</v>
      </c>
      <c r="FQ12" s="9">
        <v>9</v>
      </c>
      <c r="FR12" s="9">
        <v>16.725237449118048</v>
      </c>
      <c r="FS12" s="9">
        <v>398.36513853052065</v>
      </c>
      <c r="FT12" s="9">
        <v>6790.465821806057</v>
      </c>
      <c r="FU12" s="9">
        <v>323.32234343114425</v>
      </c>
      <c r="FV12" s="9">
        <v>1606.6613650698166</v>
      </c>
      <c r="FW12" s="9">
        <v>674.3323966227064</v>
      </c>
      <c r="FX12" s="9">
        <v>375.10310746278395</v>
      </c>
      <c r="FY12" s="9">
        <v>606.8618643925579</v>
      </c>
      <c r="FZ12" s="9">
        <v>219.52828877005348</v>
      </c>
      <c r="GA12" s="9">
        <v>128.15153756106346</v>
      </c>
      <c r="GB12" s="9">
        <v>259.18203806144106</v>
      </c>
      <c r="GC12" s="9">
        <v>415.40050363699305</v>
      </c>
      <c r="GD12" s="9">
        <v>574.6655094365968</v>
      </c>
      <c r="GE12" s="9">
        <v>501.5796768852793</v>
      </c>
      <c r="GF12" s="9">
        <v>1672.4819286877698</v>
      </c>
      <c r="GG12" s="9">
        <v>1014.4424311892651</v>
      </c>
      <c r="GH12" s="9">
        <v>5.55</v>
      </c>
      <c r="GI12" s="9">
        <v>421.4830446146549</v>
      </c>
      <c r="GJ12" s="9">
        <v>128.81079894644427</v>
      </c>
      <c r="GK12" s="9">
        <v>69.66056446046477</v>
      </c>
      <c r="GL12" s="9">
        <v>32.53508947694046</v>
      </c>
      <c r="GM12" s="9">
        <v>8708.735961660372</v>
      </c>
      <c r="GN12" s="9">
        <v>1040.7739035234358</v>
      </c>
      <c r="GO12" s="9">
        <v>5</v>
      </c>
      <c r="GP12" s="9">
        <v>61.63842366346681</v>
      </c>
      <c r="GQ12" s="9">
        <v>604.483941983409</v>
      </c>
      <c r="GR12" s="9">
        <v>55.51865671641791</v>
      </c>
      <c r="GS12" s="9">
        <v>2587.062061467153</v>
      </c>
      <c r="GT12" s="9">
        <v>807.5521415544667</v>
      </c>
      <c r="GU12" s="9">
        <v>17.402985074626866</v>
      </c>
      <c r="GV12" s="9">
        <v>405.8084453379733</v>
      </c>
      <c r="GW12" s="9">
        <v>3057.065022258498</v>
      </c>
      <c r="GX12" s="9">
        <v>66.43038008092412</v>
      </c>
    </row>
    <row r="13" spans="1:206" ht="12.75">
      <c r="A13" s="5" t="s">
        <v>341</v>
      </c>
      <c r="B13" s="9">
        <v>7.45218548486</v>
      </c>
      <c r="C13" s="9">
        <v>8646.508628313975</v>
      </c>
      <c r="D13" s="9">
        <v>530.7075948348732</v>
      </c>
      <c r="E13" s="9">
        <v>1091.6566142252777</v>
      </c>
      <c r="F13" s="9">
        <v>1528.7821077792642</v>
      </c>
      <c r="G13" s="9">
        <v>1756.19941333427</v>
      </c>
      <c r="H13" s="9">
        <v>1760.4359391503417</v>
      </c>
      <c r="I13" s="9">
        <v>1276.99537784817</v>
      </c>
      <c r="J13" s="9">
        <v>701.7315811417798</v>
      </c>
      <c r="K13" s="9">
        <v>1622.364209060151</v>
      </c>
      <c r="L13" s="9">
        <v>5575.008279226306</v>
      </c>
      <c r="M13" s="9">
        <v>1449.1361400275196</v>
      </c>
      <c r="N13" s="9">
        <v>4153.290503958171</v>
      </c>
      <c r="O13" s="9">
        <v>4493.218124355805</v>
      </c>
      <c r="P13" s="9">
        <v>8399.81051510643</v>
      </c>
      <c r="Q13" s="9">
        <v>246.69811320754718</v>
      </c>
      <c r="R13" s="9">
        <v>3638.250299667037</v>
      </c>
      <c r="S13" s="9">
        <v>1094.9067784698796</v>
      </c>
      <c r="T13" s="9">
        <v>1252.9235681939738</v>
      </c>
      <c r="U13" s="9">
        <v>609.2911597605107</v>
      </c>
      <c r="V13" s="9">
        <v>488.98699583210686</v>
      </c>
      <c r="W13" s="9">
        <v>150.702705648282</v>
      </c>
      <c r="X13" s="9">
        <v>41.439091762283915</v>
      </c>
      <c r="Y13" s="9">
        <v>2445.1269668293226</v>
      </c>
      <c r="Z13" s="9">
        <v>365.03239871083827</v>
      </c>
      <c r="AA13" s="9">
        <v>164.92619089792305</v>
      </c>
      <c r="AB13" s="9">
        <v>432.4674930231068</v>
      </c>
      <c r="AC13" s="9">
        <v>48.59105930792286</v>
      </c>
      <c r="AD13" s="9">
        <v>3828.4298392148917</v>
      </c>
      <c r="AE13" s="9">
        <v>907.0221587409818</v>
      </c>
      <c r="AF13" s="9">
        <v>1839.426941784199</v>
      </c>
      <c r="AG13" s="9">
        <v>730.6781060679573</v>
      </c>
      <c r="AH13" s="9">
        <v>161.12309307389856</v>
      </c>
      <c r="AI13" s="9">
        <v>4888.662960633546</v>
      </c>
      <c r="AJ13" s="9">
        <v>2535.190233199869</v>
      </c>
      <c r="AK13" s="9">
        <v>882.5518364630177</v>
      </c>
      <c r="AL13" s="9">
        <v>260.1520108921267</v>
      </c>
      <c r="AM13" s="9">
        <v>79.95158712541621</v>
      </c>
      <c r="AN13" s="9">
        <v>649.6189308206941</v>
      </c>
      <c r="AO13" s="9">
        <v>764.1903959748295</v>
      </c>
      <c r="AP13" s="9">
        <v>7232.699301518453</v>
      </c>
      <c r="AQ13" s="9">
        <v>7905.52970780917</v>
      </c>
      <c r="AR13" s="9">
        <v>444.0987533658961</v>
      </c>
      <c r="AS13" s="9">
        <v>61.064235981929315</v>
      </c>
      <c r="AT13" s="9">
        <v>61.56845504886644</v>
      </c>
      <c r="AU13" s="9">
        <v>174.24747610811457</v>
      </c>
      <c r="AV13" s="9">
        <v>8646.508628313975</v>
      </c>
      <c r="AW13" s="9">
        <v>7253.354161382136</v>
      </c>
      <c r="AX13" s="9">
        <v>707.1393063145981</v>
      </c>
      <c r="AY13" s="9">
        <v>53.699534168906126</v>
      </c>
      <c r="AZ13" s="9">
        <v>209.07378705544915</v>
      </c>
      <c r="BA13" s="9">
        <v>179.74165949327286</v>
      </c>
      <c r="BB13" s="9">
        <v>139.53298755942816</v>
      </c>
      <c r="BC13" s="9">
        <v>8646.508628313975</v>
      </c>
      <c r="BD13" s="9">
        <v>5321.958059328913</v>
      </c>
      <c r="BE13" s="9">
        <v>712.5925962955438</v>
      </c>
      <c r="BF13" s="9">
        <v>1599.3513005372763</v>
      </c>
      <c r="BG13" s="9">
        <v>202.66235783772743</v>
      </c>
      <c r="BH13" s="9">
        <v>178.988752391043</v>
      </c>
      <c r="BI13" s="9">
        <v>175.07774143557538</v>
      </c>
      <c r="BJ13" s="9">
        <v>427.95329218601074</v>
      </c>
      <c r="BK13" s="9">
        <v>27.92452830188679</v>
      </c>
      <c r="BL13" s="9">
        <v>8646.508628313975</v>
      </c>
      <c r="BM13" s="9">
        <v>3181.1677351234475</v>
      </c>
      <c r="BN13" s="9">
        <v>722.2631810055336</v>
      </c>
      <c r="BO13" s="9">
        <v>782.2603853056712</v>
      </c>
      <c r="BP13" s="9">
        <v>61.68162207828781</v>
      </c>
      <c r="BQ13" s="9">
        <v>3194.0729757257077</v>
      </c>
      <c r="BR13" s="9">
        <v>635.0223517168376</v>
      </c>
      <c r="BS13" s="9">
        <v>8646.508628313975</v>
      </c>
      <c r="BT13" s="9">
        <v>6993.478462996772</v>
      </c>
      <c r="BU13" s="9">
        <v>829.1627930085375</v>
      </c>
      <c r="BV13" s="9">
        <v>31.46268656716418</v>
      </c>
      <c r="BW13" s="9">
        <v>103.08655134142141</v>
      </c>
      <c r="BX13" s="9">
        <v>28.55980088458926</v>
      </c>
      <c r="BY13" s="9">
        <v>370.97275998155783</v>
      </c>
      <c r="BZ13" s="9">
        <v>686.3181344000824</v>
      </c>
      <c r="CA13" s="9">
        <v>81.19530693595536</v>
      </c>
      <c r="CB13" s="9">
        <v>200.61605375853327</v>
      </c>
      <c r="CC13" s="9">
        <v>176.52306444892326</v>
      </c>
      <c r="CD13" s="9">
        <v>227.9837092566705</v>
      </c>
      <c r="CE13" s="9">
        <v>8323.848290481405</v>
      </c>
      <c r="CF13" s="9">
        <v>8198.384051988367</v>
      </c>
      <c r="CG13" s="9">
        <v>113.6332525775459</v>
      </c>
      <c r="CH13" s="9">
        <v>11.830985915492958</v>
      </c>
      <c r="CI13" s="9">
        <v>466.5790191402752</v>
      </c>
      <c r="CJ13" s="9">
        <v>7707.594486263812</v>
      </c>
      <c r="CK13" s="9">
        <v>1590.6178013485314</v>
      </c>
      <c r="CL13" s="9">
        <v>775.0378808455996</v>
      </c>
      <c r="CM13" s="9">
        <v>6322.412838112046</v>
      </c>
      <c r="CN13" s="9">
        <v>1051.1945845298387</v>
      </c>
      <c r="CO13" s="9">
        <v>2796.573491876341</v>
      </c>
      <c r="CP13" s="9">
        <v>462.18130155847047</v>
      </c>
      <c r="CQ13" s="9">
        <v>221.49464594678946</v>
      </c>
      <c r="CR13" s="9">
        <v>149.5513679922499</v>
      </c>
      <c r="CS13" s="9">
        <v>16.590321864594895</v>
      </c>
      <c r="CT13" s="9">
        <v>6322.412838112046</v>
      </c>
      <c r="CU13" s="9">
        <v>1624.8271243437612</v>
      </c>
      <c r="CV13" s="9">
        <v>852.5921572093918</v>
      </c>
      <c r="CW13" s="9">
        <v>238.4790222061909</v>
      </c>
      <c r="CX13" s="9">
        <v>230.6846808586299</v>
      </c>
      <c r="CY13" s="9">
        <v>211.97604217212648</v>
      </c>
      <c r="CZ13" s="9">
        <v>91.09522189742226</v>
      </c>
      <c r="DA13" s="9">
        <v>221.49464594678946</v>
      </c>
      <c r="DB13" s="9">
        <v>42.210985915492955</v>
      </c>
      <c r="DC13" s="9">
        <v>49.27098591549296</v>
      </c>
      <c r="DD13" s="9">
        <v>18.270985915492957</v>
      </c>
      <c r="DE13" s="9">
        <v>4459.500745956901</v>
      </c>
      <c r="DF13" s="9">
        <v>309.43130796633733</v>
      </c>
      <c r="DG13" s="9">
        <v>985.0609737159513</v>
      </c>
      <c r="DH13" s="9">
        <v>890.0934570241166</v>
      </c>
      <c r="DI13" s="9">
        <v>1721.0359945653129</v>
      </c>
      <c r="DJ13" s="9">
        <v>553.8790126851821</v>
      </c>
      <c r="DK13" s="9">
        <v>4459.500745956901</v>
      </c>
      <c r="DL13" s="9">
        <v>34.541730196308635</v>
      </c>
      <c r="DM13" s="9">
        <v>35.6880577136515</v>
      </c>
      <c r="DN13" s="9">
        <v>181.90421341203302</v>
      </c>
      <c r="DO13" s="9">
        <v>33.69360743452549</v>
      </c>
      <c r="DP13" s="9">
        <v>32.61556235051921</v>
      </c>
      <c r="DQ13" s="9">
        <v>311.569011463981</v>
      </c>
      <c r="DR13" s="9">
        <v>796.8372376554471</v>
      </c>
      <c r="DS13" s="9">
        <v>229.24390417708332</v>
      </c>
      <c r="DT13" s="9">
        <v>327.964215027536</v>
      </c>
      <c r="DU13" s="9">
        <v>132.14528300519086</v>
      </c>
      <c r="DV13" s="9">
        <v>52.91436213782955</v>
      </c>
      <c r="DW13" s="9">
        <v>45.776075419146</v>
      </c>
      <c r="DX13" s="9">
        <v>218.49279369922937</v>
      </c>
      <c r="DY13" s="9">
        <v>146.91471354706187</v>
      </c>
      <c r="DZ13" s="9">
        <v>458.0840624297617</v>
      </c>
      <c r="EA13" s="9">
        <v>294.3473076875826</v>
      </c>
      <c r="EB13" s="9">
        <v>946.9390409564846</v>
      </c>
      <c r="EC13" s="9">
        <v>179.82956764352815</v>
      </c>
      <c r="ED13" s="9">
        <v>4459.500745956901</v>
      </c>
      <c r="EE13" s="9">
        <v>354.96755819449294</v>
      </c>
      <c r="EF13" s="9">
        <v>779.9396807096705</v>
      </c>
      <c r="EG13" s="9">
        <v>658.5455004843975</v>
      </c>
      <c r="EH13" s="9">
        <v>486.5673389380721</v>
      </c>
      <c r="EI13" s="9">
        <v>497.4753380446861</v>
      </c>
      <c r="EJ13" s="9">
        <v>469.32482020847505</v>
      </c>
      <c r="EK13" s="9">
        <v>428.23677685767495</v>
      </c>
      <c r="EL13" s="9">
        <v>283.08743614098876</v>
      </c>
      <c r="EM13" s="9">
        <v>501.35629637844215</v>
      </c>
      <c r="EN13" s="9">
        <v>7024.144419253826</v>
      </c>
      <c r="EO13" s="9">
        <v>1509.02616967739</v>
      </c>
      <c r="EP13" s="9">
        <v>1673.542883922095</v>
      </c>
      <c r="EQ13" s="9">
        <v>1074.69455514651</v>
      </c>
      <c r="ER13" s="9">
        <v>655.0320348697956</v>
      </c>
      <c r="ES13" s="9">
        <v>2111.8487756380346</v>
      </c>
      <c r="ET13" s="9">
        <v>3747.1844173140958</v>
      </c>
      <c r="EU13" s="9">
        <v>3638.250299667037</v>
      </c>
      <c r="EV13" s="9">
        <v>108.93411764705883</v>
      </c>
      <c r="EW13" s="9">
        <v>18</v>
      </c>
      <c r="EX13" s="9">
        <v>90.93411764705883</v>
      </c>
      <c r="EY13" s="9">
        <v>3638.250299667037</v>
      </c>
      <c r="EZ13" s="9">
        <v>886.1527402041969</v>
      </c>
      <c r="FA13" s="9">
        <v>1277.2959781113182</v>
      </c>
      <c r="FB13" s="9">
        <v>754.7983017404479</v>
      </c>
      <c r="FC13" s="9">
        <v>719.1232796110737</v>
      </c>
      <c r="FD13" s="9">
        <v>0.88</v>
      </c>
      <c r="FE13" s="9">
        <v>459.1695890574709</v>
      </c>
      <c r="FF13" s="9">
        <v>635.7371894124085</v>
      </c>
      <c r="FG13" s="9">
        <v>301.7099955642053</v>
      </c>
      <c r="FH13" s="9">
        <v>479.9755082863598</v>
      </c>
      <c r="FI13" s="9">
        <v>608.9130118273725</v>
      </c>
      <c r="FJ13" s="9">
        <v>247.68694245743254</v>
      </c>
      <c r="FK13" s="9">
        <v>157.85626892068382</v>
      </c>
      <c r="FL13" s="9">
        <v>136.0107842479415</v>
      </c>
      <c r="FM13" s="9">
        <v>18.38421906693712</v>
      </c>
      <c r="FN13" s="9">
        <v>255.48490223998422</v>
      </c>
      <c r="FO13" s="9">
        <v>117.12990161449974</v>
      </c>
      <c r="FP13" s="9">
        <v>57.223531922874244</v>
      </c>
      <c r="FQ13" s="9">
        <v>5</v>
      </c>
      <c r="FR13" s="9">
        <v>9</v>
      </c>
      <c r="FS13" s="9">
        <v>148.96845504886642</v>
      </c>
      <c r="FT13" s="9">
        <v>3638.250299667037</v>
      </c>
      <c r="FU13" s="9">
        <v>97.34528300519086</v>
      </c>
      <c r="FV13" s="9">
        <v>1057.6322302381727</v>
      </c>
      <c r="FW13" s="9">
        <v>419.5979370622076</v>
      </c>
      <c r="FX13" s="9">
        <v>209.0886107494041</v>
      </c>
      <c r="FY13" s="9">
        <v>254.48490223998422</v>
      </c>
      <c r="FZ13" s="9">
        <v>110.03451532725767</v>
      </c>
      <c r="GA13" s="9">
        <v>64.55677947820107</v>
      </c>
      <c r="GB13" s="9">
        <v>79.89360743452548</v>
      </c>
      <c r="GC13" s="9">
        <v>170.23962140091896</v>
      </c>
      <c r="GD13" s="9">
        <v>288.9299676565519</v>
      </c>
      <c r="GE13" s="9">
        <v>332.8016134852278</v>
      </c>
      <c r="GF13" s="9">
        <v>940.2754898293989</v>
      </c>
      <c r="GG13" s="9">
        <v>737.4169574477396</v>
      </c>
      <c r="GH13" s="9">
        <v>3</v>
      </c>
      <c r="GI13" s="9">
        <v>103.10619089792303</v>
      </c>
      <c r="GJ13" s="9">
        <v>51.15451532725766</v>
      </c>
      <c r="GK13" s="9">
        <v>18.154515327257663</v>
      </c>
      <c r="GL13" s="9">
        <v>27.443310829221033</v>
      </c>
      <c r="GM13" s="9">
        <v>5826.17702559429</v>
      </c>
      <c r="GN13" s="9">
        <v>601.604541739364</v>
      </c>
      <c r="GO13" s="9">
        <v>1</v>
      </c>
      <c r="GP13" s="9">
        <v>48.07782650146261</v>
      </c>
      <c r="GQ13" s="9">
        <v>301.219341209302</v>
      </c>
      <c r="GR13" s="9">
        <v>29.524593350018446</v>
      </c>
      <c r="GS13" s="9">
        <v>2102.893617016357</v>
      </c>
      <c r="GT13" s="9">
        <v>518.1873366301877</v>
      </c>
      <c r="GU13" s="9">
        <v>7.73134328358209</v>
      </c>
      <c r="GV13" s="9">
        <v>243.9182688670536</v>
      </c>
      <c r="GW13" s="9">
        <v>1926.3858182562506</v>
      </c>
      <c r="GX13" s="9">
        <v>45.63433874071204</v>
      </c>
    </row>
    <row r="14" spans="1:206" ht="12.75">
      <c r="A14" s="5" t="s">
        <v>342</v>
      </c>
      <c r="B14" s="9">
        <v>11.197046544099999</v>
      </c>
      <c r="C14" s="9">
        <v>11757.919150349684</v>
      </c>
      <c r="D14" s="9">
        <v>696.1344905213025</v>
      </c>
      <c r="E14" s="9">
        <v>1400.7361944607405</v>
      </c>
      <c r="F14" s="9">
        <v>1956.3831094810882</v>
      </c>
      <c r="G14" s="9">
        <v>2428.7880725578234</v>
      </c>
      <c r="H14" s="9">
        <v>2391.6569539295224</v>
      </c>
      <c r="I14" s="9">
        <v>1866.4091468062052</v>
      </c>
      <c r="J14" s="9">
        <v>1017.8111825930016</v>
      </c>
      <c r="K14" s="9">
        <v>2096.8706849820433</v>
      </c>
      <c r="L14" s="9">
        <v>7526.410992439254</v>
      </c>
      <c r="M14" s="9">
        <v>2134.6374729283853</v>
      </c>
      <c r="N14" s="9">
        <v>5683.269151894237</v>
      </c>
      <c r="O14" s="9">
        <v>6074.649998455446</v>
      </c>
      <c r="P14" s="9">
        <v>11670.681862214089</v>
      </c>
      <c r="Q14" s="9">
        <v>87.23728813559322</v>
      </c>
      <c r="R14" s="9">
        <v>5264.874009360173</v>
      </c>
      <c r="S14" s="9">
        <v>1684.9769181834713</v>
      </c>
      <c r="T14" s="9">
        <v>1897.3388857530072</v>
      </c>
      <c r="U14" s="9">
        <v>821.0807133663951</v>
      </c>
      <c r="V14" s="9">
        <v>632.1330136399708</v>
      </c>
      <c r="W14" s="9">
        <v>187.7186782815036</v>
      </c>
      <c r="X14" s="9">
        <v>41.62580013582441</v>
      </c>
      <c r="Y14" s="9">
        <v>3819.789586580232</v>
      </c>
      <c r="Z14" s="9">
        <v>466.76408450704224</v>
      </c>
      <c r="AA14" s="9">
        <v>268.18013343217194</v>
      </c>
      <c r="AB14" s="9">
        <v>581.8432114620781</v>
      </c>
      <c r="AC14" s="9">
        <v>61.526315789473685</v>
      </c>
      <c r="AD14" s="9">
        <v>5923.734991528996</v>
      </c>
      <c r="AE14" s="9">
        <v>1146.9804003402178</v>
      </c>
      <c r="AF14" s="9">
        <v>2629.883164544677</v>
      </c>
      <c r="AG14" s="9">
        <v>1242.2636025513557</v>
      </c>
      <c r="AH14" s="9">
        <v>245.74684192392257</v>
      </c>
      <c r="AI14" s="9">
        <v>6458.171013755288</v>
      </c>
      <c r="AJ14" s="9">
        <v>3670.501870067969</v>
      </c>
      <c r="AK14" s="9">
        <v>1229.3734720275954</v>
      </c>
      <c r="AL14" s="9">
        <v>320.30967474292027</v>
      </c>
      <c r="AM14" s="9">
        <v>79.56311975591152</v>
      </c>
      <c r="AN14" s="9">
        <v>801.8110250205755</v>
      </c>
      <c r="AO14" s="9">
        <v>1165.4838238692246</v>
      </c>
      <c r="AP14" s="9">
        <v>9790.624301459884</v>
      </c>
      <c r="AQ14" s="9">
        <v>10771.38619256004</v>
      </c>
      <c r="AR14" s="9">
        <v>617.6134531671046</v>
      </c>
      <c r="AS14" s="9">
        <v>59.44954867994506</v>
      </c>
      <c r="AT14" s="9">
        <v>73.63488093641743</v>
      </c>
      <c r="AU14" s="9">
        <v>235.83507500617796</v>
      </c>
      <c r="AV14" s="9">
        <v>11757.919150349684</v>
      </c>
      <c r="AW14" s="9">
        <v>10085.902539920018</v>
      </c>
      <c r="AX14" s="9">
        <v>927.4324513299522</v>
      </c>
      <c r="AY14" s="9">
        <v>69.5816313053084</v>
      </c>
      <c r="AZ14" s="9">
        <v>268.3090426617677</v>
      </c>
      <c r="BA14" s="9">
        <v>200.57525477413336</v>
      </c>
      <c r="BB14" s="9">
        <v>125.30511060259344</v>
      </c>
      <c r="BC14" s="9">
        <v>11757.919150349684</v>
      </c>
      <c r="BD14" s="9">
        <v>7557.092308401018</v>
      </c>
      <c r="BE14" s="9">
        <v>912.5039100235633</v>
      </c>
      <c r="BF14" s="9">
        <v>2091.7830238696997</v>
      </c>
      <c r="BG14" s="9">
        <v>244.4007083588032</v>
      </c>
      <c r="BH14" s="9">
        <v>258.3086030956453</v>
      </c>
      <c r="BI14" s="9">
        <v>211.72795419994785</v>
      </c>
      <c r="BJ14" s="9">
        <v>456.19785675793497</v>
      </c>
      <c r="BK14" s="9">
        <v>25.904785643070788</v>
      </c>
      <c r="BL14" s="9">
        <v>11757.919150349684</v>
      </c>
      <c r="BM14" s="9">
        <v>4433.044805715641</v>
      </c>
      <c r="BN14" s="9">
        <v>989.6875481461632</v>
      </c>
      <c r="BO14" s="9">
        <v>904.1565000773403</v>
      </c>
      <c r="BP14" s="9">
        <v>56</v>
      </c>
      <c r="BQ14" s="9">
        <v>4480.086391345404</v>
      </c>
      <c r="BR14" s="9">
        <v>811.030861586875</v>
      </c>
      <c r="BS14" s="9">
        <v>11757.919150349684</v>
      </c>
      <c r="BT14" s="9">
        <v>9812.158111437755</v>
      </c>
      <c r="BU14" s="9">
        <v>1069.727809863884</v>
      </c>
      <c r="BV14" s="9">
        <v>49.421052631578945</v>
      </c>
      <c r="BW14" s="9">
        <v>64.18108831400536</v>
      </c>
      <c r="BX14" s="9">
        <v>28.971014492753625</v>
      </c>
      <c r="BY14" s="9">
        <v>418.72482847436464</v>
      </c>
      <c r="BZ14" s="9">
        <v>762.4310881024592</v>
      </c>
      <c r="CA14" s="9">
        <v>91.22934513463082</v>
      </c>
      <c r="CB14" s="9">
        <v>200.69268510258695</v>
      </c>
      <c r="CC14" s="9">
        <v>152.59006671608597</v>
      </c>
      <c r="CD14" s="9">
        <v>317.91899114915543</v>
      </c>
      <c r="CE14" s="9">
        <v>11345.202459431795</v>
      </c>
      <c r="CF14" s="9">
        <v>11203.683820389691</v>
      </c>
      <c r="CG14" s="9">
        <v>124.3496249575957</v>
      </c>
      <c r="CH14" s="9">
        <v>17.16901408450704</v>
      </c>
      <c r="CI14" s="9">
        <v>637.7187305441139</v>
      </c>
      <c r="CJ14" s="9">
        <v>10520.13786933106</v>
      </c>
      <c r="CK14" s="9">
        <v>2320.419069405164</v>
      </c>
      <c r="CL14" s="9">
        <v>901.4952523366933</v>
      </c>
      <c r="CM14" s="9">
        <v>8643.237282774639</v>
      </c>
      <c r="CN14" s="9">
        <v>1364.9829633878526</v>
      </c>
      <c r="CO14" s="9">
        <v>3896.4191837579087</v>
      </c>
      <c r="CP14" s="9">
        <v>611.4456733071057</v>
      </c>
      <c r="CQ14" s="9">
        <v>297.8812432182723</v>
      </c>
      <c r="CR14" s="9">
        <v>171.59365435134953</v>
      </c>
      <c r="CS14" s="9">
        <v>38.83366985238031</v>
      </c>
      <c r="CT14" s="9">
        <v>8643.237282774639</v>
      </c>
      <c r="CU14" s="9">
        <v>2262.08089489977</v>
      </c>
      <c r="CV14" s="9">
        <v>1303.5204733427051</v>
      </c>
      <c r="CW14" s="9">
        <v>284.58205866334345</v>
      </c>
      <c r="CX14" s="9">
        <v>259.09679818688994</v>
      </c>
      <c r="CY14" s="9">
        <v>281.0466576495522</v>
      </c>
      <c r="CZ14" s="9">
        <v>133.83490705727917</v>
      </c>
      <c r="DA14" s="9">
        <v>297.8812432182723</v>
      </c>
      <c r="DB14" s="9">
        <v>81.16901408450704</v>
      </c>
      <c r="DC14" s="9">
        <v>49.40318647199751</v>
      </c>
      <c r="DD14" s="9">
        <v>25.16901408450704</v>
      </c>
      <c r="DE14" s="9">
        <v>6044.441474804216</v>
      </c>
      <c r="DF14" s="9">
        <v>428.21993412924166</v>
      </c>
      <c r="DG14" s="9">
        <v>1241.5507391245756</v>
      </c>
      <c r="DH14" s="9">
        <v>1234.6086272049442</v>
      </c>
      <c r="DI14" s="9">
        <v>2415.3933216063933</v>
      </c>
      <c r="DJ14" s="9">
        <v>724.6688527390615</v>
      </c>
      <c r="DK14" s="9">
        <v>6044.441474804216</v>
      </c>
      <c r="DL14" s="9">
        <v>91.95005235793998</v>
      </c>
      <c r="DM14" s="9">
        <v>59.363081617086195</v>
      </c>
      <c r="DN14" s="9">
        <v>304.3159071495776</v>
      </c>
      <c r="DO14" s="9">
        <v>53.91949152542373</v>
      </c>
      <c r="DP14" s="9">
        <v>41.73529411764706</v>
      </c>
      <c r="DQ14" s="9">
        <v>542.6481685250112</v>
      </c>
      <c r="DR14" s="9">
        <v>1076.3931420519116</v>
      </c>
      <c r="DS14" s="9">
        <v>344.8288557180598</v>
      </c>
      <c r="DT14" s="9">
        <v>368.55716114620657</v>
      </c>
      <c r="DU14" s="9">
        <v>182.13539754282772</v>
      </c>
      <c r="DV14" s="9">
        <v>99.34006671608599</v>
      </c>
      <c r="DW14" s="9">
        <v>51.862655359626686</v>
      </c>
      <c r="DX14" s="9">
        <v>271.06498182797145</v>
      </c>
      <c r="DY14" s="9">
        <v>238.09962605817125</v>
      </c>
      <c r="DZ14" s="9">
        <v>480.6654297509701</v>
      </c>
      <c r="EA14" s="9">
        <v>449.308451757136</v>
      </c>
      <c r="EB14" s="9">
        <v>1111.725640691081</v>
      </c>
      <c r="EC14" s="9">
        <v>276.5280708914821</v>
      </c>
      <c r="ED14" s="9">
        <v>6044.441474804216</v>
      </c>
      <c r="EE14" s="9">
        <v>533.8138598969799</v>
      </c>
      <c r="EF14" s="9">
        <v>1030.4361594233426</v>
      </c>
      <c r="EG14" s="9">
        <v>749.9900995143082</v>
      </c>
      <c r="EH14" s="9">
        <v>650.2793986247444</v>
      </c>
      <c r="EI14" s="9">
        <v>747.5031351193035</v>
      </c>
      <c r="EJ14" s="9">
        <v>631.3650285137968</v>
      </c>
      <c r="EK14" s="9">
        <v>572.0049427061795</v>
      </c>
      <c r="EL14" s="9">
        <v>469.1527101316564</v>
      </c>
      <c r="EM14" s="9">
        <v>659.896140873905</v>
      </c>
      <c r="EN14" s="9">
        <v>9661.04846536764</v>
      </c>
      <c r="EO14" s="9">
        <v>2085.071601460484</v>
      </c>
      <c r="EP14" s="9">
        <v>2279.254788912128</v>
      </c>
      <c r="EQ14" s="9">
        <v>1444.2062869229035</v>
      </c>
      <c r="ER14" s="9">
        <v>961.0491017198831</v>
      </c>
      <c r="ES14" s="9">
        <v>2891.4666863522407</v>
      </c>
      <c r="ET14" s="9">
        <v>5390.736185988184</v>
      </c>
      <c r="EU14" s="9">
        <v>5264.874009360173</v>
      </c>
      <c r="EV14" s="9">
        <v>125.86217662801072</v>
      </c>
      <c r="EW14" s="9">
        <v>20.088983050847457</v>
      </c>
      <c r="EX14" s="9">
        <v>105.77319357716325</v>
      </c>
      <c r="EY14" s="9">
        <v>5264.874009360173</v>
      </c>
      <c r="EZ14" s="9">
        <v>1719.5067032200204</v>
      </c>
      <c r="FA14" s="9">
        <v>1513.6462432408193</v>
      </c>
      <c r="FB14" s="9">
        <v>1042.0748331358777</v>
      </c>
      <c r="FC14" s="9">
        <v>988.6462297634552</v>
      </c>
      <c r="FD14" s="9">
        <v>1</v>
      </c>
      <c r="FE14" s="9">
        <v>656.9082827285487</v>
      </c>
      <c r="FF14" s="9">
        <v>1028.0686354549227</v>
      </c>
      <c r="FG14" s="9">
        <v>504.6236992870723</v>
      </c>
      <c r="FH14" s="9">
        <v>649.3453342125513</v>
      </c>
      <c r="FI14" s="9">
        <v>796.8473445222288</v>
      </c>
      <c r="FJ14" s="9">
        <v>305.9846237600302</v>
      </c>
      <c r="FK14" s="9">
        <v>277.3821981001056</v>
      </c>
      <c r="FL14" s="9">
        <v>205.55233391476926</v>
      </c>
      <c r="FM14" s="9">
        <v>24</v>
      </c>
      <c r="FN14" s="9">
        <v>352.8222005565045</v>
      </c>
      <c r="FO14" s="9">
        <v>187.75064538981545</v>
      </c>
      <c r="FP14" s="9">
        <v>69.96119665198387</v>
      </c>
      <c r="FQ14" s="9">
        <v>2</v>
      </c>
      <c r="FR14" s="9">
        <v>18.5</v>
      </c>
      <c r="FS14" s="9">
        <v>185.12751478163997</v>
      </c>
      <c r="FT14" s="9">
        <v>5264.874009360173</v>
      </c>
      <c r="FU14" s="9">
        <v>145.34006671608597</v>
      </c>
      <c r="FV14" s="9">
        <v>1425.1830756454865</v>
      </c>
      <c r="FW14" s="9">
        <v>561.380079920636</v>
      </c>
      <c r="FX14" s="9">
        <v>259.35273515194257</v>
      </c>
      <c r="FY14" s="9">
        <v>351.8222005565045</v>
      </c>
      <c r="FZ14" s="9">
        <v>130.91901408450704</v>
      </c>
      <c r="GA14" s="9">
        <v>102.73213384041856</v>
      </c>
      <c r="GB14" s="9">
        <v>118.17105263157895</v>
      </c>
      <c r="GC14" s="9">
        <v>258.42928201782854</v>
      </c>
      <c r="GD14" s="9">
        <v>398.4790007107202</v>
      </c>
      <c r="GE14" s="9">
        <v>583.4338767975357</v>
      </c>
      <c r="GF14" s="9">
        <v>1428.5098839101138</v>
      </c>
      <c r="GG14" s="9">
        <v>1194.2316866265012</v>
      </c>
      <c r="GH14" s="9">
        <v>6</v>
      </c>
      <c r="GI14" s="9">
        <v>114.33802816901408</v>
      </c>
      <c r="GJ14" s="9">
        <v>57.590066716085985</v>
      </c>
      <c r="GK14" s="9">
        <v>34.35010239851239</v>
      </c>
      <c r="GL14" s="9">
        <v>22</v>
      </c>
      <c r="GM14" s="9">
        <v>7761.159677813821</v>
      </c>
      <c r="GN14" s="9">
        <v>764.6152433536404</v>
      </c>
      <c r="GO14" s="9">
        <v>5</v>
      </c>
      <c r="GP14" s="9">
        <v>78.97101449275362</v>
      </c>
      <c r="GQ14" s="9">
        <v>558.3627436654165</v>
      </c>
      <c r="GR14" s="9">
        <v>33.340066716085985</v>
      </c>
      <c r="GS14" s="9">
        <v>3472.9267211954448</v>
      </c>
      <c r="GT14" s="9">
        <v>762.1509474139865</v>
      </c>
      <c r="GU14" s="9">
        <v>33.421052631578945</v>
      </c>
      <c r="GV14" s="9">
        <v>443.2678659587465</v>
      </c>
      <c r="GW14" s="9">
        <v>1548.5201869761627</v>
      </c>
      <c r="GX14" s="9">
        <v>60.58383541000423</v>
      </c>
    </row>
    <row r="15" spans="1:206" ht="12.75">
      <c r="A15" s="5" t="s">
        <v>343</v>
      </c>
      <c r="B15" s="9">
        <v>522.1892698629999</v>
      </c>
      <c r="C15" s="9">
        <v>13030.723805942398</v>
      </c>
      <c r="D15" s="9">
        <v>1103.4496743704728</v>
      </c>
      <c r="E15" s="9">
        <v>1903.7861706963101</v>
      </c>
      <c r="F15" s="9">
        <v>2098.3762499992126</v>
      </c>
      <c r="G15" s="9">
        <v>3332.8890894360065</v>
      </c>
      <c r="H15" s="9">
        <v>2538.5521221636754</v>
      </c>
      <c r="I15" s="9">
        <v>1464.7468489433127</v>
      </c>
      <c r="J15" s="9">
        <v>588.9236503334073</v>
      </c>
      <c r="K15" s="9">
        <v>3007.2358450667825</v>
      </c>
      <c r="L15" s="9">
        <v>8661.173462564897</v>
      </c>
      <c r="M15" s="9">
        <v>1362.314498310719</v>
      </c>
      <c r="N15" s="9">
        <v>6303.834521042062</v>
      </c>
      <c r="O15" s="9">
        <v>6726.889284900335</v>
      </c>
      <c r="P15" s="9">
        <v>12889.392859320884</v>
      </c>
      <c r="Q15" s="9">
        <v>141.33094662151268</v>
      </c>
      <c r="R15" s="9">
        <v>5226.065723396886</v>
      </c>
      <c r="S15" s="9">
        <v>1259.2170728366364</v>
      </c>
      <c r="T15" s="9">
        <v>1827.473501030418</v>
      </c>
      <c r="U15" s="9">
        <v>961.9722275692988</v>
      </c>
      <c r="V15" s="9">
        <v>873.3924413068127</v>
      </c>
      <c r="W15" s="9">
        <v>246.75191998307517</v>
      </c>
      <c r="X15" s="9">
        <v>57.25856067064507</v>
      </c>
      <c r="Y15" s="9">
        <v>4012.623553257349</v>
      </c>
      <c r="Z15" s="9">
        <v>90.25342212356641</v>
      </c>
      <c r="AA15" s="9">
        <v>272.8880229419703</v>
      </c>
      <c r="AB15" s="9">
        <v>699.5046783962196</v>
      </c>
      <c r="AC15" s="9">
        <v>73.84351829800747</v>
      </c>
      <c r="AD15" s="9">
        <v>7558.338996631424</v>
      </c>
      <c r="AE15" s="9">
        <v>496.10215998937116</v>
      </c>
      <c r="AF15" s="9">
        <v>2471.5867896010195</v>
      </c>
      <c r="AG15" s="9">
        <v>1831.5506045034745</v>
      </c>
      <c r="AH15" s="9">
        <v>426.82616930302015</v>
      </c>
      <c r="AI15" s="9">
        <v>8378.053043612086</v>
      </c>
      <c r="AJ15" s="9">
        <v>3453.0532256455017</v>
      </c>
      <c r="AK15" s="9">
        <v>888.5480631155392</v>
      </c>
      <c r="AL15" s="9">
        <v>255.1159200182195</v>
      </c>
      <c r="AM15" s="9">
        <v>55.953553551050355</v>
      </c>
      <c r="AN15" s="9">
        <v>623.5613852669542</v>
      </c>
      <c r="AO15" s="9">
        <v>919.1426483341336</v>
      </c>
      <c r="AP15" s="9">
        <v>11488.01977234131</v>
      </c>
      <c r="AQ15" s="9">
        <v>12121.306296911738</v>
      </c>
      <c r="AR15" s="9">
        <v>578.4883563682547</v>
      </c>
      <c r="AS15" s="9">
        <v>66.88737353021602</v>
      </c>
      <c r="AT15" s="9">
        <v>64.73827807615692</v>
      </c>
      <c r="AU15" s="9">
        <v>199.3035010560327</v>
      </c>
      <c r="AV15" s="9">
        <v>13030.723805942398</v>
      </c>
      <c r="AW15" s="9">
        <v>10767.170707470272</v>
      </c>
      <c r="AX15" s="9">
        <v>1420.330439125175</v>
      </c>
      <c r="AY15" s="9">
        <v>75.22913885269722</v>
      </c>
      <c r="AZ15" s="9">
        <v>214.82698772700218</v>
      </c>
      <c r="BA15" s="9">
        <v>235.2796953947458</v>
      </c>
      <c r="BB15" s="9">
        <v>218.2691395183548</v>
      </c>
      <c r="BC15" s="9">
        <v>13030.723805942398</v>
      </c>
      <c r="BD15" s="9">
        <v>8064.405226219489</v>
      </c>
      <c r="BE15" s="9">
        <v>1179.194682652282</v>
      </c>
      <c r="BF15" s="9">
        <v>2295.0004433363033</v>
      </c>
      <c r="BG15" s="9">
        <v>273.71910801276977</v>
      </c>
      <c r="BH15" s="9">
        <v>371.8859645020108</v>
      </c>
      <c r="BI15" s="9">
        <v>330.75531131957166</v>
      </c>
      <c r="BJ15" s="9">
        <v>477.6875982018584</v>
      </c>
      <c r="BK15" s="9">
        <v>38.075471698113205</v>
      </c>
      <c r="BL15" s="9">
        <v>13030.723805942398</v>
      </c>
      <c r="BM15" s="9">
        <v>4529.908399732487</v>
      </c>
      <c r="BN15" s="9">
        <v>1041.3944777056158</v>
      </c>
      <c r="BO15" s="9">
        <v>1099.8452108895021</v>
      </c>
      <c r="BP15" s="9">
        <v>68.41509433962264</v>
      </c>
      <c r="BQ15" s="9">
        <v>5178.649898237313</v>
      </c>
      <c r="BR15" s="9">
        <v>1007.8243168147795</v>
      </c>
      <c r="BS15" s="9">
        <v>13030.723805942398</v>
      </c>
      <c r="BT15" s="9">
        <v>10525.270156026749</v>
      </c>
      <c r="BU15" s="9">
        <v>1549.2617851803068</v>
      </c>
      <c r="BV15" s="9">
        <v>65.33279352226721</v>
      </c>
      <c r="BW15" s="9">
        <v>77.41213195664537</v>
      </c>
      <c r="BX15" s="9">
        <v>38.4710868760958</v>
      </c>
      <c r="BY15" s="9">
        <v>376.8227444855647</v>
      </c>
      <c r="BZ15" s="9">
        <v>806.6930931025827</v>
      </c>
      <c r="CA15" s="9">
        <v>72.67690377469849</v>
      </c>
      <c r="CB15" s="9">
        <v>212.9257271497706</v>
      </c>
      <c r="CC15" s="9">
        <v>212.46968605383233</v>
      </c>
      <c r="CD15" s="9">
        <v>308.6207761242813</v>
      </c>
      <c r="CE15" s="9">
        <v>12355.62742998879</v>
      </c>
      <c r="CF15" s="9">
        <v>12250.179960989732</v>
      </c>
      <c r="CG15" s="9">
        <v>96.44746899905788</v>
      </c>
      <c r="CH15" s="9">
        <v>9</v>
      </c>
      <c r="CI15" s="9">
        <v>581.6867660886439</v>
      </c>
      <c r="CJ15" s="9">
        <v>11577.786161739292</v>
      </c>
      <c r="CK15" s="9">
        <v>2276.374035174766</v>
      </c>
      <c r="CL15" s="9">
        <v>928.619974165366</v>
      </c>
      <c r="CM15" s="9">
        <v>9434.564310542208</v>
      </c>
      <c r="CN15" s="9">
        <v>1535.3405301347732</v>
      </c>
      <c r="CO15" s="9">
        <v>4690.828495717638</v>
      </c>
      <c r="CP15" s="9">
        <v>827.5358163761056</v>
      </c>
      <c r="CQ15" s="9">
        <v>248.46956505729918</v>
      </c>
      <c r="CR15" s="9">
        <v>170.90226325095438</v>
      </c>
      <c r="CS15" s="9">
        <v>38.75012593008361</v>
      </c>
      <c r="CT15" s="9">
        <v>9434.564310542208</v>
      </c>
      <c r="CU15" s="9">
        <v>1922.737514075353</v>
      </c>
      <c r="CV15" s="9">
        <v>964.9132790350816</v>
      </c>
      <c r="CW15" s="9">
        <v>292.20349327447065</v>
      </c>
      <c r="CX15" s="9">
        <v>323.2566727298705</v>
      </c>
      <c r="CY15" s="9">
        <v>233.4482498095338</v>
      </c>
      <c r="CZ15" s="9">
        <v>108.91581922639628</v>
      </c>
      <c r="DA15" s="9">
        <v>248.46956505729918</v>
      </c>
      <c r="DB15" s="9">
        <v>74.2156862745098</v>
      </c>
      <c r="DC15" s="9">
        <v>41.86497291165483</v>
      </c>
      <c r="DD15" s="9">
        <v>29.215686274509803</v>
      </c>
      <c r="DE15" s="9">
        <v>7224.607105479472</v>
      </c>
      <c r="DF15" s="9">
        <v>430.9480867418789</v>
      </c>
      <c r="DG15" s="9">
        <v>1464.0301973719756</v>
      </c>
      <c r="DH15" s="9">
        <v>1385.6037819807873</v>
      </c>
      <c r="DI15" s="9">
        <v>2877.8034529828133</v>
      </c>
      <c r="DJ15" s="9">
        <v>1066.221586402017</v>
      </c>
      <c r="DK15" s="9">
        <v>7224.607105479472</v>
      </c>
      <c r="DL15" s="9">
        <v>133.783837647908</v>
      </c>
      <c r="DM15" s="9">
        <v>109.041110543571</v>
      </c>
      <c r="DN15" s="9">
        <v>433.9145360371035</v>
      </c>
      <c r="DO15" s="9">
        <v>64.25342212356641</v>
      </c>
      <c r="DP15" s="9">
        <v>35.22222222222222</v>
      </c>
      <c r="DQ15" s="9">
        <v>604.0396662077287</v>
      </c>
      <c r="DR15" s="9">
        <v>1186.3013819161993</v>
      </c>
      <c r="DS15" s="9">
        <v>336.78942030136</v>
      </c>
      <c r="DT15" s="9">
        <v>359.84094436090356</v>
      </c>
      <c r="DU15" s="9">
        <v>180.37798548291238</v>
      </c>
      <c r="DV15" s="9">
        <v>175.80116959064327</v>
      </c>
      <c r="DW15" s="9">
        <v>65.58413026318557</v>
      </c>
      <c r="DX15" s="9">
        <v>379.6951998789639</v>
      </c>
      <c r="DY15" s="9">
        <v>262.9672554648338</v>
      </c>
      <c r="DZ15" s="9">
        <v>683.3641846115815</v>
      </c>
      <c r="EA15" s="9">
        <v>560.0692953617853</v>
      </c>
      <c r="EB15" s="9">
        <v>1317.3777053862952</v>
      </c>
      <c r="EC15" s="9">
        <v>336.1836380787089</v>
      </c>
      <c r="ED15" s="9">
        <v>7224.607105479472</v>
      </c>
      <c r="EE15" s="9">
        <v>766.3583131758369</v>
      </c>
      <c r="EF15" s="9">
        <v>1381.495264170328</v>
      </c>
      <c r="EG15" s="9">
        <v>1088.500155601393</v>
      </c>
      <c r="EH15" s="9">
        <v>901.6065687063574</v>
      </c>
      <c r="EI15" s="9">
        <v>872.1182231000913</v>
      </c>
      <c r="EJ15" s="9">
        <v>646.7902469198874</v>
      </c>
      <c r="EK15" s="9">
        <v>592.9777140415804</v>
      </c>
      <c r="EL15" s="9">
        <v>469.42789070349767</v>
      </c>
      <c r="EM15" s="9">
        <v>505.3327290604998</v>
      </c>
      <c r="EN15" s="9">
        <v>10023.487960875616</v>
      </c>
      <c r="EO15" s="9">
        <v>1520.9461367081576</v>
      </c>
      <c r="EP15" s="9">
        <v>2402.1159068868674</v>
      </c>
      <c r="EQ15" s="9">
        <v>1608.9936408970898</v>
      </c>
      <c r="ER15" s="9">
        <v>1232.7946984503888</v>
      </c>
      <c r="ES15" s="9">
        <v>3258.6375779331115</v>
      </c>
      <c r="ET15" s="9">
        <v>5395.387546053074</v>
      </c>
      <c r="EU15" s="9">
        <v>5226.065723396886</v>
      </c>
      <c r="EV15" s="9">
        <v>169.32182265618798</v>
      </c>
      <c r="EW15" s="9">
        <v>38.37637003519356</v>
      </c>
      <c r="EX15" s="9">
        <v>130.9454526209944</v>
      </c>
      <c r="EY15" s="9">
        <v>5226.065723396886</v>
      </c>
      <c r="EZ15" s="9">
        <v>2758.7477278283877</v>
      </c>
      <c r="FA15" s="9">
        <v>1353.2911847134326</v>
      </c>
      <c r="FB15" s="9">
        <v>292.38011695906437</v>
      </c>
      <c r="FC15" s="9">
        <v>815.4860101353177</v>
      </c>
      <c r="FD15" s="9">
        <v>6.160683760683761</v>
      </c>
      <c r="FE15" s="9">
        <v>318.9492691871048</v>
      </c>
      <c r="FF15" s="9">
        <v>940.2678036495313</v>
      </c>
      <c r="FG15" s="9">
        <v>315.0733323986125</v>
      </c>
      <c r="FH15" s="9">
        <v>796.9929583592927</v>
      </c>
      <c r="FI15" s="9">
        <v>1196.8690076409848</v>
      </c>
      <c r="FJ15" s="9">
        <v>280.91223545483933</v>
      </c>
      <c r="FK15" s="9">
        <v>355.3154172443279</v>
      </c>
      <c r="FL15" s="9">
        <v>283.83335031557897</v>
      </c>
      <c r="FM15" s="9">
        <v>33.791666666666664</v>
      </c>
      <c r="FN15" s="9">
        <v>373.9339086620556</v>
      </c>
      <c r="FO15" s="9">
        <v>112.1005433699952</v>
      </c>
      <c r="FP15" s="9">
        <v>69.18431946167198</v>
      </c>
      <c r="FQ15" s="9">
        <v>0</v>
      </c>
      <c r="FR15" s="9">
        <v>4</v>
      </c>
      <c r="FS15" s="9">
        <v>144.84191098622406</v>
      </c>
      <c r="FT15" s="9">
        <v>5226.065723396886</v>
      </c>
      <c r="FU15" s="9">
        <v>132.34681142260587</v>
      </c>
      <c r="FV15" s="9">
        <v>1923.8205860802914</v>
      </c>
      <c r="FW15" s="9">
        <v>877.5338293030388</v>
      </c>
      <c r="FX15" s="9">
        <v>313.68279219540204</v>
      </c>
      <c r="FY15" s="9">
        <v>372.9339086620556</v>
      </c>
      <c r="FZ15" s="9">
        <v>157.15414781297136</v>
      </c>
      <c r="GA15" s="9">
        <v>117.16307763160663</v>
      </c>
      <c r="GB15" s="9">
        <v>98.61668321747766</v>
      </c>
      <c r="GC15" s="9">
        <v>142.51240088317445</v>
      </c>
      <c r="GD15" s="9">
        <v>176.43686830393034</v>
      </c>
      <c r="GE15" s="9">
        <v>343.76370510640004</v>
      </c>
      <c r="GF15" s="9">
        <v>815.8928501793541</v>
      </c>
      <c r="GG15" s="9">
        <v>698.6254902259261</v>
      </c>
      <c r="GH15" s="9">
        <v>5</v>
      </c>
      <c r="GI15" s="9">
        <v>23.215686274509803</v>
      </c>
      <c r="GJ15" s="9">
        <v>17.578947368421055</v>
      </c>
      <c r="GK15" s="9">
        <v>49.53426477203567</v>
      </c>
      <c r="GL15" s="9">
        <v>21.93846153846154</v>
      </c>
      <c r="GM15" s="9">
        <v>9496.867873258667</v>
      </c>
      <c r="GN15" s="9">
        <v>979.982267114981</v>
      </c>
      <c r="GO15" s="9">
        <v>4.215686274509804</v>
      </c>
      <c r="GP15" s="9">
        <v>98.38155292995808</v>
      </c>
      <c r="GQ15" s="9">
        <v>840.6200173620166</v>
      </c>
      <c r="GR15" s="9">
        <v>50.28334988414432</v>
      </c>
      <c r="GS15" s="9">
        <v>4803.057494371976</v>
      </c>
      <c r="GT15" s="9">
        <v>1284.7615198946523</v>
      </c>
      <c r="GU15" s="9">
        <v>19.801169590643276</v>
      </c>
      <c r="GV15" s="9">
        <v>340.4149561768736</v>
      </c>
      <c r="GW15" s="9">
        <v>919.5724926807515</v>
      </c>
      <c r="GX15" s="9">
        <v>155.7773669781614</v>
      </c>
    </row>
    <row r="16" spans="1:206" ht="12.75">
      <c r="A16" s="5" t="s">
        <v>344</v>
      </c>
      <c r="B16" s="9">
        <v>13.8846818396</v>
      </c>
      <c r="C16" s="9">
        <v>8566.9448888425</v>
      </c>
      <c r="D16" s="9">
        <v>413.2759732804509</v>
      </c>
      <c r="E16" s="9">
        <v>768.161465528449</v>
      </c>
      <c r="F16" s="9">
        <v>1503.9895523303614</v>
      </c>
      <c r="G16" s="9">
        <v>1682.3430266957448</v>
      </c>
      <c r="H16" s="9">
        <v>2125.1459921958112</v>
      </c>
      <c r="I16" s="9">
        <v>1305.849933768771</v>
      </c>
      <c r="J16" s="9">
        <v>768.178945042912</v>
      </c>
      <c r="K16" s="9">
        <v>1181.4374388089</v>
      </c>
      <c r="L16" s="9">
        <v>5847.248876266442</v>
      </c>
      <c r="M16" s="9">
        <v>1538.25857376716</v>
      </c>
      <c r="N16" s="9">
        <v>4128.876558191743</v>
      </c>
      <c r="O16" s="9">
        <v>4438.068330650758</v>
      </c>
      <c r="P16" s="9">
        <v>8311.306194203806</v>
      </c>
      <c r="Q16" s="9">
        <v>255.63869463869463</v>
      </c>
      <c r="R16" s="9">
        <v>3954.2878531340352</v>
      </c>
      <c r="S16" s="9">
        <v>1440.7010569529975</v>
      </c>
      <c r="T16" s="9">
        <v>1376.3580357872033</v>
      </c>
      <c r="U16" s="9">
        <v>604.8827933574673</v>
      </c>
      <c r="V16" s="9">
        <v>394.51332324392024</v>
      </c>
      <c r="W16" s="9">
        <v>107.685663108821</v>
      </c>
      <c r="X16" s="9">
        <v>30.1469806836264</v>
      </c>
      <c r="Y16" s="9">
        <v>2746.0637183607178</v>
      </c>
      <c r="Z16" s="9">
        <v>478.33289381213183</v>
      </c>
      <c r="AA16" s="9">
        <v>147.6752029327049</v>
      </c>
      <c r="AB16" s="9">
        <v>470.0985740784484</v>
      </c>
      <c r="AC16" s="9">
        <v>42.911562833605245</v>
      </c>
      <c r="AD16" s="9">
        <v>4128.970496065862</v>
      </c>
      <c r="AE16" s="9">
        <v>1039.9220101003998</v>
      </c>
      <c r="AF16" s="9">
        <v>1951.8359709549418</v>
      </c>
      <c r="AG16" s="9">
        <v>781.0217577918286</v>
      </c>
      <c r="AH16" s="9">
        <v>181.50811428686526</v>
      </c>
      <c r="AI16" s="9">
        <v>4334.199762358616</v>
      </c>
      <c r="AJ16" s="9">
        <v>2679.061228326531</v>
      </c>
      <c r="AK16" s="9">
        <v>1070.0418707895928</v>
      </c>
      <c r="AL16" s="9">
        <v>347.78972949020084</v>
      </c>
      <c r="AM16" s="9">
        <v>135.85229787756103</v>
      </c>
      <c r="AN16" s="9">
        <v>839.4934121442841</v>
      </c>
      <c r="AO16" s="9">
        <v>958.5608883627501</v>
      </c>
      <c r="AP16" s="9">
        <v>6768.890588335466</v>
      </c>
      <c r="AQ16" s="9">
        <v>7734.1334330738655</v>
      </c>
      <c r="AR16" s="9">
        <v>478.88817044699215</v>
      </c>
      <c r="AS16" s="9">
        <v>81.2018034596982</v>
      </c>
      <c r="AT16" s="9">
        <v>57.60631578947369</v>
      </c>
      <c r="AU16" s="9">
        <v>215.11516607247165</v>
      </c>
      <c r="AV16" s="9">
        <v>8566.9448888425</v>
      </c>
      <c r="AW16" s="9">
        <v>7201.488834627012</v>
      </c>
      <c r="AX16" s="9">
        <v>720.5930859138243</v>
      </c>
      <c r="AY16" s="9">
        <v>63.30752913752914</v>
      </c>
      <c r="AZ16" s="9">
        <v>258.1935928747869</v>
      </c>
      <c r="BA16" s="9">
        <v>174.25748731498928</v>
      </c>
      <c r="BB16" s="9">
        <v>97.89025641025641</v>
      </c>
      <c r="BC16" s="9">
        <v>8566.9448888425</v>
      </c>
      <c r="BD16" s="9">
        <v>5650.25348418013</v>
      </c>
      <c r="BE16" s="9">
        <v>646.4712840655023</v>
      </c>
      <c r="BF16" s="9">
        <v>1318.998867916582</v>
      </c>
      <c r="BG16" s="9">
        <v>168.1725244590445</v>
      </c>
      <c r="BH16" s="9">
        <v>208.1422203117647</v>
      </c>
      <c r="BI16" s="9">
        <v>144.82657454355018</v>
      </c>
      <c r="BJ16" s="9">
        <v>401.83993336592704</v>
      </c>
      <c r="BK16" s="9">
        <v>28.240000000000002</v>
      </c>
      <c r="BL16" s="9">
        <v>8566.9448888425</v>
      </c>
      <c r="BM16" s="9">
        <v>3067.257937767914</v>
      </c>
      <c r="BN16" s="9">
        <v>818.5008164184597</v>
      </c>
      <c r="BO16" s="9">
        <v>658.8575262443762</v>
      </c>
      <c r="BP16" s="9">
        <v>35.71076923076923</v>
      </c>
      <c r="BQ16" s="9">
        <v>3242.891152372111</v>
      </c>
      <c r="BR16" s="9">
        <v>669.7328271597478</v>
      </c>
      <c r="BS16" s="9">
        <v>8566.9448888425</v>
      </c>
      <c r="BT16" s="9">
        <v>6981.061722561282</v>
      </c>
      <c r="BU16" s="9">
        <v>853.9899527207541</v>
      </c>
      <c r="BV16" s="9">
        <v>39.63134328358209</v>
      </c>
      <c r="BW16" s="9">
        <v>52.808095884215284</v>
      </c>
      <c r="BX16" s="9">
        <v>28.708438228438226</v>
      </c>
      <c r="BY16" s="9">
        <v>380.2116410219788</v>
      </c>
      <c r="BZ16" s="9">
        <v>637.5446834835758</v>
      </c>
      <c r="CA16" s="9">
        <v>71.45011655011655</v>
      </c>
      <c r="CB16" s="9">
        <v>182.46165083672545</v>
      </c>
      <c r="CC16" s="9">
        <v>163.21709723374295</v>
      </c>
      <c r="CD16" s="9">
        <v>220.4158188629909</v>
      </c>
      <c r="CE16" s="9">
        <v>8322.752067267636</v>
      </c>
      <c r="CF16" s="9">
        <v>8189.531166984364</v>
      </c>
      <c r="CG16" s="9">
        <v>113.0875669499393</v>
      </c>
      <c r="CH16" s="9">
        <v>20.133333333333333</v>
      </c>
      <c r="CI16" s="9">
        <v>390.67785536798885</v>
      </c>
      <c r="CJ16" s="9">
        <v>7776.789011475563</v>
      </c>
      <c r="CK16" s="9">
        <v>1778.4567193293744</v>
      </c>
      <c r="CL16" s="9">
        <v>680.0474879924998</v>
      </c>
      <c r="CM16" s="9">
        <v>6617.328504990689</v>
      </c>
      <c r="CN16" s="9">
        <v>982.7335620389039</v>
      </c>
      <c r="CO16" s="9">
        <v>3006.3491043677454</v>
      </c>
      <c r="CP16" s="9">
        <v>477.7486270524448</v>
      </c>
      <c r="CQ16" s="9">
        <v>257.3417183131087</v>
      </c>
      <c r="CR16" s="9">
        <v>123.48631947000368</v>
      </c>
      <c r="CS16" s="9">
        <v>23.714524543275523</v>
      </c>
      <c r="CT16" s="9">
        <v>6617.328504990689</v>
      </c>
      <c r="CU16" s="9">
        <v>1745.954649205207</v>
      </c>
      <c r="CV16" s="9">
        <v>887.1241789763001</v>
      </c>
      <c r="CW16" s="9">
        <v>211.1651292122384</v>
      </c>
      <c r="CX16" s="9">
        <v>163.76276893046727</v>
      </c>
      <c r="CY16" s="9">
        <v>328.4968783612303</v>
      </c>
      <c r="CZ16" s="9">
        <v>155.40569372497103</v>
      </c>
      <c r="DA16" s="9">
        <v>257.3417183131087</v>
      </c>
      <c r="DB16" s="9">
        <v>75.86001717580665</v>
      </c>
      <c r="DC16" s="9">
        <v>64.77376752600634</v>
      </c>
      <c r="DD16" s="9">
        <v>22.087719298245613</v>
      </c>
      <c r="DE16" s="9">
        <v>4590.317612929098</v>
      </c>
      <c r="DF16" s="9">
        <v>290.08415398165596</v>
      </c>
      <c r="DG16" s="9">
        <v>914.1830640503775</v>
      </c>
      <c r="DH16" s="9">
        <v>990.134958241549</v>
      </c>
      <c r="DI16" s="9">
        <v>1842.96727334985</v>
      </c>
      <c r="DJ16" s="9">
        <v>552.9481633056653</v>
      </c>
      <c r="DK16" s="9">
        <v>4590.317612929098</v>
      </c>
      <c r="DL16" s="9">
        <v>59.47320931229022</v>
      </c>
      <c r="DM16" s="9">
        <v>34.392712550607285</v>
      </c>
      <c r="DN16" s="9">
        <v>203.45811055140197</v>
      </c>
      <c r="DO16" s="9">
        <v>31.021929824561404</v>
      </c>
      <c r="DP16" s="9">
        <v>30.449004975124378</v>
      </c>
      <c r="DQ16" s="9">
        <v>432.5048410139219</v>
      </c>
      <c r="DR16" s="9">
        <v>808.9710744400925</v>
      </c>
      <c r="DS16" s="9">
        <v>301.6982908424385</v>
      </c>
      <c r="DT16" s="9">
        <v>310.49176147235846</v>
      </c>
      <c r="DU16" s="9">
        <v>148.71339835602993</v>
      </c>
      <c r="DV16" s="9">
        <v>76</v>
      </c>
      <c r="DW16" s="9">
        <v>51.3229455959071</v>
      </c>
      <c r="DX16" s="9">
        <v>146.17588639430744</v>
      </c>
      <c r="DY16" s="9">
        <v>176.1179264699689</v>
      </c>
      <c r="DZ16" s="9">
        <v>350.60351602312323</v>
      </c>
      <c r="EA16" s="9">
        <v>289.6074027726659</v>
      </c>
      <c r="EB16" s="9">
        <v>910.7122899671682</v>
      </c>
      <c r="EC16" s="9">
        <v>228.60331236713012</v>
      </c>
      <c r="ED16" s="9">
        <v>4590.317612929098</v>
      </c>
      <c r="EE16" s="9">
        <v>311.4568432771732</v>
      </c>
      <c r="EF16" s="9">
        <v>648.8020769908279</v>
      </c>
      <c r="EG16" s="9">
        <v>529.4584109082853</v>
      </c>
      <c r="EH16" s="9">
        <v>573.1125002517775</v>
      </c>
      <c r="EI16" s="9">
        <v>618.6261474372708</v>
      </c>
      <c r="EJ16" s="9">
        <v>563.3142959658828</v>
      </c>
      <c r="EK16" s="9">
        <v>431.6725467070243</v>
      </c>
      <c r="EL16" s="9">
        <v>386.44639291580376</v>
      </c>
      <c r="EM16" s="9">
        <v>527.4283984750521</v>
      </c>
      <c r="EN16" s="9">
        <v>7385.5074500336</v>
      </c>
      <c r="EO16" s="9">
        <v>1913.5313519081076</v>
      </c>
      <c r="EP16" s="9">
        <v>1872.576556488811</v>
      </c>
      <c r="EQ16" s="9">
        <v>1149.3140452503767</v>
      </c>
      <c r="ER16" s="9">
        <v>690.5014914020255</v>
      </c>
      <c r="ES16" s="9">
        <v>1759.58400498428</v>
      </c>
      <c r="ET16" s="9">
        <v>4066.994350386456</v>
      </c>
      <c r="EU16" s="9">
        <v>3954.2878531340352</v>
      </c>
      <c r="EV16" s="9">
        <v>112.70649725242026</v>
      </c>
      <c r="EW16" s="9">
        <v>20.692950558213717</v>
      </c>
      <c r="EX16" s="9">
        <v>92.01354669420654</v>
      </c>
      <c r="EY16" s="9">
        <v>3952.2878531340352</v>
      </c>
      <c r="EZ16" s="9">
        <v>856.3998930448969</v>
      </c>
      <c r="FA16" s="9">
        <v>1477.4678823768534</v>
      </c>
      <c r="FB16" s="9">
        <v>556.9240973271295</v>
      </c>
      <c r="FC16" s="9">
        <v>1055.3205417886643</v>
      </c>
      <c r="FD16" s="9">
        <v>6.175438596491228</v>
      </c>
      <c r="FE16" s="9">
        <v>545.3173393247234</v>
      </c>
      <c r="FF16" s="9">
        <v>895.3837176282738</v>
      </c>
      <c r="FG16" s="9">
        <v>236.22544200235478</v>
      </c>
      <c r="FH16" s="9">
        <v>522.1733331685334</v>
      </c>
      <c r="FI16" s="9">
        <v>440.4050973143117</v>
      </c>
      <c r="FJ16" s="9">
        <v>264.90641628076037</v>
      </c>
      <c r="FK16" s="9">
        <v>270.81684690276995</v>
      </c>
      <c r="FL16" s="9">
        <v>150.97251374705422</v>
      </c>
      <c r="FM16" s="9">
        <v>19.996540301803456</v>
      </c>
      <c r="FN16" s="9">
        <v>220.37289139506734</v>
      </c>
      <c r="FO16" s="9">
        <v>165.14082656280613</v>
      </c>
      <c r="FP16" s="9">
        <v>66.88876574067461</v>
      </c>
      <c r="FQ16" s="9">
        <v>0</v>
      </c>
      <c r="FR16" s="9">
        <v>14.774762550881952</v>
      </c>
      <c r="FS16" s="9">
        <v>140.9133602140201</v>
      </c>
      <c r="FT16" s="9">
        <v>3954.2878531340352</v>
      </c>
      <c r="FU16" s="9">
        <v>100.33000959501351</v>
      </c>
      <c r="FV16" s="9">
        <v>878.6392681971081</v>
      </c>
      <c r="FW16" s="9">
        <v>337.9377276664158</v>
      </c>
      <c r="FX16" s="9">
        <v>188.42364473180658</v>
      </c>
      <c r="FY16" s="9">
        <v>219.37289139506734</v>
      </c>
      <c r="FZ16" s="9">
        <v>84.42976076555024</v>
      </c>
      <c r="GA16" s="9">
        <v>65.85212600962797</v>
      </c>
      <c r="GB16" s="9">
        <v>69.09100461988913</v>
      </c>
      <c r="GC16" s="9">
        <v>233.46036281602662</v>
      </c>
      <c r="GD16" s="9">
        <v>311.85697650869685</v>
      </c>
      <c r="GE16" s="9">
        <v>308.32196853421516</v>
      </c>
      <c r="GF16" s="9">
        <v>976.44130025251</v>
      </c>
      <c r="GG16" s="9">
        <v>752.1964747847073</v>
      </c>
      <c r="GH16" s="9">
        <v>8.45</v>
      </c>
      <c r="GI16" s="9">
        <v>139.61659596753077</v>
      </c>
      <c r="GJ16" s="9">
        <v>25.40953129091385</v>
      </c>
      <c r="GK16" s="9">
        <v>33.3085020242915</v>
      </c>
      <c r="GL16" s="9">
        <v>17.46019618506657</v>
      </c>
      <c r="GM16" s="9">
        <v>5619.624403854852</v>
      </c>
      <c r="GN16" s="9">
        <v>542.083785873723</v>
      </c>
      <c r="GO16" s="9">
        <v>2</v>
      </c>
      <c r="GP16" s="9">
        <v>61.833382407066615</v>
      </c>
      <c r="GQ16" s="9">
        <v>437.8776635409628</v>
      </c>
      <c r="GR16" s="9">
        <v>25</v>
      </c>
      <c r="GS16" s="9">
        <v>2542.8856771168084</v>
      </c>
      <c r="GT16" s="9">
        <v>548.6522032458246</v>
      </c>
      <c r="GU16" s="9">
        <v>14.40953129091385</v>
      </c>
      <c r="GV16" s="9">
        <v>241.92514638804508</v>
      </c>
      <c r="GW16" s="9">
        <v>1153.7836549493973</v>
      </c>
      <c r="GX16" s="9">
        <v>49.17335904211002</v>
      </c>
    </row>
    <row r="17" spans="1:206" ht="12.75">
      <c r="A17" s="5" t="s">
        <v>345</v>
      </c>
      <c r="B17" s="9">
        <v>1718.9089854000001</v>
      </c>
      <c r="C17" s="9">
        <v>10656.460137728223</v>
      </c>
      <c r="D17" s="9">
        <v>517.8856374473396</v>
      </c>
      <c r="E17" s="9">
        <v>1282.8558726175745</v>
      </c>
      <c r="F17" s="9">
        <v>1286.5133176835307</v>
      </c>
      <c r="G17" s="9">
        <v>1903.509064148426</v>
      </c>
      <c r="H17" s="9">
        <v>2575.4526166121914</v>
      </c>
      <c r="I17" s="9">
        <v>2256.594226168694</v>
      </c>
      <c r="J17" s="9">
        <v>833.649403050467</v>
      </c>
      <c r="K17" s="9">
        <v>1800.7415100649143</v>
      </c>
      <c r="L17" s="9">
        <v>6684.418395115204</v>
      </c>
      <c r="M17" s="9">
        <v>2171.3002325481048</v>
      </c>
      <c r="N17" s="9">
        <v>5382.90411686901</v>
      </c>
      <c r="O17" s="9">
        <v>5273.556020859212</v>
      </c>
      <c r="P17" s="9">
        <v>10598.460137728223</v>
      </c>
      <c r="Q17" s="9">
        <v>58</v>
      </c>
      <c r="R17" s="9">
        <v>4630.34595748</v>
      </c>
      <c r="S17" s="9">
        <v>1305.06197529389</v>
      </c>
      <c r="T17" s="9">
        <v>1824.3464485900658</v>
      </c>
      <c r="U17" s="9">
        <v>698.8464330315394</v>
      </c>
      <c r="V17" s="9">
        <v>526.2751651485694</v>
      </c>
      <c r="W17" s="9">
        <v>218.83030693030693</v>
      </c>
      <c r="X17" s="9">
        <v>56.98562848562848</v>
      </c>
      <c r="Y17" s="9">
        <v>3505.9745478692284</v>
      </c>
      <c r="Z17" s="9">
        <v>576.09968368479</v>
      </c>
      <c r="AA17" s="9">
        <v>36.901092581943644</v>
      </c>
      <c r="AB17" s="9">
        <v>337.04289983545306</v>
      </c>
      <c r="AC17" s="9">
        <v>120.20696988782096</v>
      </c>
      <c r="AD17" s="9">
        <v>6971.239084220998</v>
      </c>
      <c r="AE17" s="9">
        <v>593.8376761536337</v>
      </c>
      <c r="AF17" s="9">
        <v>1978.125582988349</v>
      </c>
      <c r="AG17" s="9">
        <v>1473.0273200666816</v>
      </c>
      <c r="AH17" s="9">
        <v>585.3553782713357</v>
      </c>
      <c r="AI17" s="9">
        <v>5447.2227195142095</v>
      </c>
      <c r="AJ17" s="9">
        <v>3371.1642426897747</v>
      </c>
      <c r="AK17" s="9">
        <v>1330.8902961679555</v>
      </c>
      <c r="AL17" s="9">
        <v>386.8433424858957</v>
      </c>
      <c r="AM17" s="9">
        <v>120.33953687038793</v>
      </c>
      <c r="AN17" s="9">
        <v>931.8057930408995</v>
      </c>
      <c r="AO17" s="9">
        <v>1172.6126295402892</v>
      </c>
      <c r="AP17" s="9">
        <v>8552.041715147036</v>
      </c>
      <c r="AQ17" s="9">
        <v>9580.793726179896</v>
      </c>
      <c r="AR17" s="9">
        <v>616.7207512984108</v>
      </c>
      <c r="AS17" s="9">
        <v>92.16874204959312</v>
      </c>
      <c r="AT17" s="9">
        <v>77.58219258219258</v>
      </c>
      <c r="AU17" s="9">
        <v>289.1947256181299</v>
      </c>
      <c r="AV17" s="9">
        <v>10656.460137728223</v>
      </c>
      <c r="AW17" s="9">
        <v>8242.418292677867</v>
      </c>
      <c r="AX17" s="9">
        <v>2175.572384819193</v>
      </c>
      <c r="AY17" s="9">
        <v>42.765957446808514</v>
      </c>
      <c r="AZ17" s="9">
        <v>32.84415584415584</v>
      </c>
      <c r="BA17" s="9">
        <v>103.42467200552308</v>
      </c>
      <c r="BB17" s="9">
        <v>17.146074646074645</v>
      </c>
      <c r="BC17" s="9">
        <v>10656.460137728223</v>
      </c>
      <c r="BD17" s="9">
        <v>6299.860809400171</v>
      </c>
      <c r="BE17" s="9">
        <v>1216.59998261594</v>
      </c>
      <c r="BF17" s="9">
        <v>1595.0834438611037</v>
      </c>
      <c r="BG17" s="9">
        <v>207.04138742223847</v>
      </c>
      <c r="BH17" s="9">
        <v>795.5171949097481</v>
      </c>
      <c r="BI17" s="9">
        <v>411.3719693028204</v>
      </c>
      <c r="BJ17" s="9">
        <v>117.98535021620128</v>
      </c>
      <c r="BK17" s="9">
        <v>13</v>
      </c>
      <c r="BL17" s="9">
        <v>10656.460137728223</v>
      </c>
      <c r="BM17" s="9">
        <v>4746.137794979284</v>
      </c>
      <c r="BN17" s="9">
        <v>356.08045687301006</v>
      </c>
      <c r="BO17" s="9">
        <v>891.4848935008508</v>
      </c>
      <c r="BP17" s="9">
        <v>11</v>
      </c>
      <c r="BQ17" s="9">
        <v>3732.3063997819318</v>
      </c>
      <c r="BR17" s="9">
        <v>830.6846351463373</v>
      </c>
      <c r="BS17" s="9">
        <v>10656.460137728223</v>
      </c>
      <c r="BT17" s="9">
        <v>7976.94941043558</v>
      </c>
      <c r="BU17" s="9">
        <v>2274.3458684852303</v>
      </c>
      <c r="BV17" s="9">
        <v>76.17182052182052</v>
      </c>
      <c r="BW17" s="9">
        <v>63.88558558558559</v>
      </c>
      <c r="BX17" s="9">
        <v>19.76595744680851</v>
      </c>
      <c r="BY17" s="9">
        <v>101.51548301548303</v>
      </c>
      <c r="BZ17" s="9">
        <v>263.5804256729789</v>
      </c>
      <c r="CA17" s="9">
        <v>25.11096681096681</v>
      </c>
      <c r="CB17" s="9">
        <v>31.532191213042278</v>
      </c>
      <c r="CC17" s="9">
        <v>48.42523692523692</v>
      </c>
      <c r="CD17" s="9">
        <v>158.51203072373283</v>
      </c>
      <c r="CE17" s="9">
        <v>10359.2553161617</v>
      </c>
      <c r="CF17" s="9">
        <v>10287.79355569994</v>
      </c>
      <c r="CG17" s="9">
        <v>64.46176046176046</v>
      </c>
      <c r="CH17" s="9">
        <v>7</v>
      </c>
      <c r="CI17" s="9">
        <v>110.01401271401272</v>
      </c>
      <c r="CJ17" s="9">
        <v>10183.560479766862</v>
      </c>
      <c r="CK17" s="9">
        <v>2915.6988572158784</v>
      </c>
      <c r="CL17" s="9">
        <v>296.1957105765616</v>
      </c>
      <c r="CM17" s="9">
        <v>8022.069224612842</v>
      </c>
      <c r="CN17" s="9">
        <v>1137.3355326865967</v>
      </c>
      <c r="CO17" s="9">
        <v>2890.9987499242816</v>
      </c>
      <c r="CP17" s="9">
        <v>1081.143769536323</v>
      </c>
      <c r="CQ17" s="9">
        <v>306.221904952756</v>
      </c>
      <c r="CR17" s="9">
        <v>97.27763347763349</v>
      </c>
      <c r="CS17" s="9">
        <v>42.67132717132717</v>
      </c>
      <c r="CT17" s="9">
        <v>8022.069224612842</v>
      </c>
      <c r="CU17" s="9">
        <v>2466.4203068639235</v>
      </c>
      <c r="CV17" s="9">
        <v>1472.4258185651802</v>
      </c>
      <c r="CW17" s="9">
        <v>227.70035664290984</v>
      </c>
      <c r="CX17" s="9">
        <v>323.5215481023992</v>
      </c>
      <c r="CY17" s="9">
        <v>316.5721812721813</v>
      </c>
      <c r="CZ17" s="9">
        <v>126.20040228125335</v>
      </c>
      <c r="DA17" s="9">
        <v>306.221904952756</v>
      </c>
      <c r="DB17" s="9">
        <v>80.8466966966967</v>
      </c>
      <c r="DC17" s="9">
        <v>86.58307593307593</v>
      </c>
      <c r="DD17" s="9">
        <v>34.44594594594595</v>
      </c>
      <c r="DE17" s="9">
        <v>5206.755685624835</v>
      </c>
      <c r="DF17" s="9">
        <v>398.3005834239877</v>
      </c>
      <c r="DG17" s="9">
        <v>1064.3906360491467</v>
      </c>
      <c r="DH17" s="9">
        <v>898.3956034924121</v>
      </c>
      <c r="DI17" s="9">
        <v>1895.024017510188</v>
      </c>
      <c r="DJ17" s="9">
        <v>950.6448451491004</v>
      </c>
      <c r="DK17" s="9">
        <v>5206.755685624835</v>
      </c>
      <c r="DL17" s="9">
        <v>539.9269287386307</v>
      </c>
      <c r="DM17" s="9">
        <v>81.7555848055848</v>
      </c>
      <c r="DN17" s="9">
        <v>331.45099898185003</v>
      </c>
      <c r="DO17" s="9">
        <v>65.84415584415584</v>
      </c>
      <c r="DP17" s="9">
        <v>207.3607339724361</v>
      </c>
      <c r="DQ17" s="9">
        <v>509.0802142844696</v>
      </c>
      <c r="DR17" s="9">
        <v>609.1320449214066</v>
      </c>
      <c r="DS17" s="9">
        <v>222.09480382565488</v>
      </c>
      <c r="DT17" s="9">
        <v>285.49589777674885</v>
      </c>
      <c r="DU17" s="9">
        <v>120.38323056408163</v>
      </c>
      <c r="DV17" s="9">
        <v>57.19950723035829</v>
      </c>
      <c r="DW17" s="9">
        <v>59.52786220871327</v>
      </c>
      <c r="DX17" s="9">
        <v>350.49629283884605</v>
      </c>
      <c r="DY17" s="9">
        <v>169.45533968619074</v>
      </c>
      <c r="DZ17" s="9">
        <v>408.24675225100754</v>
      </c>
      <c r="EA17" s="9">
        <v>366.0417610343143</v>
      </c>
      <c r="EB17" s="9">
        <v>657.5439988482541</v>
      </c>
      <c r="EC17" s="9">
        <v>165.71957781213098</v>
      </c>
      <c r="ED17" s="9">
        <v>5206.755685624835</v>
      </c>
      <c r="EE17" s="9">
        <v>421.5319743479318</v>
      </c>
      <c r="EF17" s="9">
        <v>762.9286234562829</v>
      </c>
      <c r="EG17" s="9">
        <v>570.9171631288652</v>
      </c>
      <c r="EH17" s="9">
        <v>464.9018191443723</v>
      </c>
      <c r="EI17" s="9">
        <v>1224.7573879350473</v>
      </c>
      <c r="EJ17" s="9">
        <v>502.10252873763505</v>
      </c>
      <c r="EK17" s="9">
        <v>335.47108574449</v>
      </c>
      <c r="EL17" s="9">
        <v>437.4977820594842</v>
      </c>
      <c r="EM17" s="9">
        <v>486.6473210707253</v>
      </c>
      <c r="EN17" s="9">
        <v>8855.718627663307</v>
      </c>
      <c r="EO17" s="9">
        <v>2615.6350260180043</v>
      </c>
      <c r="EP17" s="9">
        <v>2106.422242635009</v>
      </c>
      <c r="EQ17" s="9">
        <v>1153.404521432181</v>
      </c>
      <c r="ER17" s="9">
        <v>986.5366685834771</v>
      </c>
      <c r="ES17" s="9">
        <v>1993.7201689946373</v>
      </c>
      <c r="ET17" s="9">
        <v>5058.815985161729</v>
      </c>
      <c r="EU17" s="9">
        <v>4630.34595748</v>
      </c>
      <c r="EV17" s="9">
        <v>428.47002768172985</v>
      </c>
      <c r="EW17" s="9">
        <v>279.4614874614874</v>
      </c>
      <c r="EX17" s="9">
        <v>149.00854022024237</v>
      </c>
      <c r="EY17" s="9">
        <v>4630.34595748</v>
      </c>
      <c r="EZ17" s="9">
        <v>2889.3486770274008</v>
      </c>
      <c r="FA17" s="9">
        <v>1325.8866322802494</v>
      </c>
      <c r="FB17" s="9">
        <v>313.87806558976774</v>
      </c>
      <c r="FC17" s="9">
        <v>67.33033033033033</v>
      </c>
      <c r="FD17" s="9">
        <v>33.902252252252254</v>
      </c>
      <c r="FE17" s="9">
        <v>595.3836911379465</v>
      </c>
      <c r="FF17" s="9">
        <v>709.6782841559439</v>
      </c>
      <c r="FG17" s="9">
        <v>470.9621987973052</v>
      </c>
      <c r="FH17" s="9">
        <v>872.9820640480215</v>
      </c>
      <c r="FI17" s="9">
        <v>713.2893215818748</v>
      </c>
      <c r="FJ17" s="9">
        <v>319.18708667219306</v>
      </c>
      <c r="FK17" s="9">
        <v>209.8269072886094</v>
      </c>
      <c r="FL17" s="9">
        <v>189.59100912186017</v>
      </c>
      <c r="FM17" s="9">
        <v>24.825123825123825</v>
      </c>
      <c r="FN17" s="9">
        <v>165.6982956982957</v>
      </c>
      <c r="FO17" s="9">
        <v>156.85562438647545</v>
      </c>
      <c r="FP17" s="9">
        <v>71.87917787917789</v>
      </c>
      <c r="FQ17" s="9">
        <v>7</v>
      </c>
      <c r="FR17" s="9">
        <v>22.22222222222222</v>
      </c>
      <c r="FS17" s="9">
        <v>100.96495066495066</v>
      </c>
      <c r="FT17" s="9">
        <v>4630.34595748</v>
      </c>
      <c r="FU17" s="9">
        <v>98.32433017433017</v>
      </c>
      <c r="FV17" s="9">
        <v>1140.4578042812086</v>
      </c>
      <c r="FW17" s="9">
        <v>400.919859981562</v>
      </c>
      <c r="FX17" s="9">
        <v>266.57608965694067</v>
      </c>
      <c r="FY17" s="9">
        <v>165.6982956982957</v>
      </c>
      <c r="FZ17" s="9">
        <v>67.72216372216371</v>
      </c>
      <c r="GA17" s="9">
        <v>42</v>
      </c>
      <c r="GB17" s="9">
        <v>55.976131976131974</v>
      </c>
      <c r="GC17" s="9">
        <v>277.77083830168937</v>
      </c>
      <c r="GD17" s="9">
        <v>317.6128528362571</v>
      </c>
      <c r="GE17" s="9">
        <v>484.0365502142098</v>
      </c>
      <c r="GF17" s="9">
        <v>1463.5649334468483</v>
      </c>
      <c r="GG17" s="9">
        <v>1167.6147041349168</v>
      </c>
      <c r="GH17" s="9">
        <v>2</v>
      </c>
      <c r="GI17" s="9">
        <v>174.06637806637806</v>
      </c>
      <c r="GJ17" s="9">
        <v>8.91891891891892</v>
      </c>
      <c r="GK17" s="9">
        <v>73.11960980046086</v>
      </c>
      <c r="GL17" s="9">
        <v>37.84532252617359</v>
      </c>
      <c r="GM17" s="9">
        <v>6789.379145102549</v>
      </c>
      <c r="GN17" s="9">
        <v>1223.1307639775723</v>
      </c>
      <c r="GO17" s="9">
        <v>1</v>
      </c>
      <c r="GP17" s="9">
        <v>34.92207792207792</v>
      </c>
      <c r="GQ17" s="9">
        <v>1066.0751877602943</v>
      </c>
      <c r="GR17" s="9">
        <v>37.214184895035956</v>
      </c>
      <c r="GS17" s="9">
        <v>3052.2271452718264</v>
      </c>
      <c r="GT17" s="9">
        <v>659.0875710609754</v>
      </c>
      <c r="GU17" s="9">
        <v>29.527027027027028</v>
      </c>
      <c r="GV17" s="9">
        <v>38.52702702702703</v>
      </c>
      <c r="GW17" s="9">
        <v>510.0362862171373</v>
      </c>
      <c r="GX17" s="9">
        <v>137.63187394357607</v>
      </c>
    </row>
    <row r="18" spans="1:206" ht="12.75">
      <c r="A18" s="5" t="s">
        <v>346</v>
      </c>
      <c r="B18" s="9">
        <v>354.717640685</v>
      </c>
      <c r="C18" s="9">
        <v>12046.457249993065</v>
      </c>
      <c r="D18" s="9">
        <v>629.8416934664114</v>
      </c>
      <c r="E18" s="9">
        <v>1557.7158233259934</v>
      </c>
      <c r="F18" s="9">
        <v>1592.527925460136</v>
      </c>
      <c r="G18" s="9">
        <v>2170.3090597955907</v>
      </c>
      <c r="H18" s="9">
        <v>2658.637630719696</v>
      </c>
      <c r="I18" s="9">
        <v>2212.5832747522445</v>
      </c>
      <c r="J18" s="9">
        <v>1224.8418424729923</v>
      </c>
      <c r="K18" s="9">
        <v>2187.5575167924044</v>
      </c>
      <c r="L18" s="9">
        <v>7289.069549215682</v>
      </c>
      <c r="M18" s="9">
        <v>2569.8301839849773</v>
      </c>
      <c r="N18" s="9">
        <v>5811.564060123493</v>
      </c>
      <c r="O18" s="9">
        <v>6234.893189869571</v>
      </c>
      <c r="P18" s="9">
        <v>11830.457249993065</v>
      </c>
      <c r="Q18" s="9">
        <v>216</v>
      </c>
      <c r="R18" s="9">
        <v>5281.7731005917385</v>
      </c>
      <c r="S18" s="9">
        <v>1658.9728967245035</v>
      </c>
      <c r="T18" s="9">
        <v>1995.8606776488868</v>
      </c>
      <c r="U18" s="9">
        <v>709.1362927818514</v>
      </c>
      <c r="V18" s="9">
        <v>640.9583234331923</v>
      </c>
      <c r="W18" s="9">
        <v>197.54863412736248</v>
      </c>
      <c r="X18" s="9">
        <v>79.29627587594177</v>
      </c>
      <c r="Y18" s="9">
        <v>3639.3239107007284</v>
      </c>
      <c r="Z18" s="9">
        <v>657.8827107279693</v>
      </c>
      <c r="AA18" s="9">
        <v>262.80645161290323</v>
      </c>
      <c r="AB18" s="9">
        <v>572.0768852516906</v>
      </c>
      <c r="AC18" s="9">
        <v>82.66141290776599</v>
      </c>
      <c r="AD18" s="9">
        <v>6358.518281587756</v>
      </c>
      <c r="AE18" s="9">
        <v>1115.1681992337167</v>
      </c>
      <c r="AF18" s="9">
        <v>2455.388928489453</v>
      </c>
      <c r="AG18" s="9">
        <v>1354.388202058725</v>
      </c>
      <c r="AH18" s="9">
        <v>356.82777080984414</v>
      </c>
      <c r="AI18" s="9">
        <v>6465.500321596937</v>
      </c>
      <c r="AJ18" s="9">
        <v>3638.2270532387965</v>
      </c>
      <c r="AK18" s="9">
        <v>1401.4090388917896</v>
      </c>
      <c r="AL18" s="9">
        <v>418.6534033153491</v>
      </c>
      <c r="AM18" s="9">
        <v>122.66743295019157</v>
      </c>
      <c r="AN18" s="9">
        <v>1097.3927970799</v>
      </c>
      <c r="AO18" s="9">
        <v>1242.2598645761602</v>
      </c>
      <c r="AP18" s="9">
        <v>9706.804588337003</v>
      </c>
      <c r="AQ18" s="9">
        <v>10927.75665150747</v>
      </c>
      <c r="AR18" s="9">
        <v>625.3606131718539</v>
      </c>
      <c r="AS18" s="9">
        <v>86.79943679548201</v>
      </c>
      <c r="AT18" s="9">
        <v>85.55232426303854</v>
      </c>
      <c r="AU18" s="9">
        <v>320.98822425521934</v>
      </c>
      <c r="AV18" s="9">
        <v>12046.457249993065</v>
      </c>
      <c r="AW18" s="9">
        <v>9551.845022341528</v>
      </c>
      <c r="AX18" s="9">
        <v>1994.7560930638476</v>
      </c>
      <c r="AY18" s="9">
        <v>86.76659629368989</v>
      </c>
      <c r="AZ18" s="9">
        <v>41.252688172043015</v>
      </c>
      <c r="BA18" s="9">
        <v>150.0835958131862</v>
      </c>
      <c r="BB18" s="9">
        <v>128.05747126436782</v>
      </c>
      <c r="BC18" s="9">
        <v>12046.457249993065</v>
      </c>
      <c r="BD18" s="9">
        <v>7018.854125458118</v>
      </c>
      <c r="BE18" s="9">
        <v>1392.3595234311742</v>
      </c>
      <c r="BF18" s="9">
        <v>2075.479693234357</v>
      </c>
      <c r="BG18" s="9">
        <v>265.8106806126233</v>
      </c>
      <c r="BH18" s="9">
        <v>619.77513377802</v>
      </c>
      <c r="BI18" s="9">
        <v>393.7293103448276</v>
      </c>
      <c r="BJ18" s="9">
        <v>247.4487831339432</v>
      </c>
      <c r="BK18" s="9">
        <v>33</v>
      </c>
      <c r="BL18" s="9">
        <v>12046.457249993065</v>
      </c>
      <c r="BM18" s="9">
        <v>4380.705955533864</v>
      </c>
      <c r="BN18" s="9">
        <v>784.2925274114095</v>
      </c>
      <c r="BO18" s="9">
        <v>1068.8939216287183</v>
      </c>
      <c r="BP18" s="9">
        <v>40.0204081632653</v>
      </c>
      <c r="BQ18" s="9">
        <v>4695.559493194756</v>
      </c>
      <c r="BR18" s="9">
        <v>982.9849440610506</v>
      </c>
      <c r="BS18" s="9">
        <v>12046.457249993065</v>
      </c>
      <c r="BT18" s="9">
        <v>9211.508965838839</v>
      </c>
      <c r="BU18" s="9">
        <v>2091.250554124134</v>
      </c>
      <c r="BV18" s="9">
        <v>74.875</v>
      </c>
      <c r="BW18" s="9">
        <v>70.76659629368989</v>
      </c>
      <c r="BX18" s="9">
        <v>55.28927203065134</v>
      </c>
      <c r="BY18" s="9">
        <v>190.11366950933134</v>
      </c>
      <c r="BZ18" s="9">
        <v>596.0561337364015</v>
      </c>
      <c r="CA18" s="9">
        <v>51</v>
      </c>
      <c r="CB18" s="9">
        <v>83.00325963718821</v>
      </c>
      <c r="CC18" s="9">
        <v>116.04437407146766</v>
      </c>
      <c r="CD18" s="9">
        <v>346.00850002774564</v>
      </c>
      <c r="CE18" s="9">
        <v>11648.517895545316</v>
      </c>
      <c r="CF18" s="9">
        <v>11539.580395545316</v>
      </c>
      <c r="CG18" s="9">
        <v>96.9375</v>
      </c>
      <c r="CH18" s="9">
        <v>12</v>
      </c>
      <c r="CI18" s="9">
        <v>265.0443036984909</v>
      </c>
      <c r="CJ18" s="9">
        <v>11269.495884442022</v>
      </c>
      <c r="CK18" s="9">
        <v>2890.925680871162</v>
      </c>
      <c r="CL18" s="9">
        <v>510.47132723686434</v>
      </c>
      <c r="CM18" s="9">
        <v>8634.057890727669</v>
      </c>
      <c r="CN18" s="9">
        <v>1288.1659905879296</v>
      </c>
      <c r="CO18" s="9">
        <v>3302.986641588411</v>
      </c>
      <c r="CP18" s="9">
        <v>794.1098246918344</v>
      </c>
      <c r="CQ18" s="9">
        <v>360.3107199294252</v>
      </c>
      <c r="CR18" s="9">
        <v>128.96435977616852</v>
      </c>
      <c r="CS18" s="9">
        <v>31.39954648526077</v>
      </c>
      <c r="CT18" s="9">
        <v>8634.057890727669</v>
      </c>
      <c r="CU18" s="9">
        <v>2728.120807668636</v>
      </c>
      <c r="CV18" s="9">
        <v>1612.504709314204</v>
      </c>
      <c r="CW18" s="9">
        <v>266.61968684025334</v>
      </c>
      <c r="CX18" s="9">
        <v>373.57828265343954</v>
      </c>
      <c r="CY18" s="9">
        <v>340.58680702165924</v>
      </c>
      <c r="CZ18" s="9">
        <v>134.83132183908046</v>
      </c>
      <c r="DA18" s="9">
        <v>360.3107199294252</v>
      </c>
      <c r="DB18" s="9">
        <v>103.01149425287356</v>
      </c>
      <c r="DC18" s="9">
        <v>87.52814994740945</v>
      </c>
      <c r="DD18" s="9">
        <v>31</v>
      </c>
      <c r="DE18" s="9">
        <v>5514.226816644344</v>
      </c>
      <c r="DF18" s="9">
        <v>366.9394221092219</v>
      </c>
      <c r="DG18" s="9">
        <v>1230.0528369263907</v>
      </c>
      <c r="DH18" s="9">
        <v>984.7455611740432</v>
      </c>
      <c r="DI18" s="9">
        <v>2039.4929774264174</v>
      </c>
      <c r="DJ18" s="9">
        <v>892.9960190082707</v>
      </c>
      <c r="DK18" s="9">
        <v>5514.226816644344</v>
      </c>
      <c r="DL18" s="9">
        <v>267.4449432034586</v>
      </c>
      <c r="DM18" s="9">
        <v>87.01149425287356</v>
      </c>
      <c r="DN18" s="9">
        <v>279.22600335091397</v>
      </c>
      <c r="DO18" s="9">
        <v>30</v>
      </c>
      <c r="DP18" s="9">
        <v>42.01149425287356</v>
      </c>
      <c r="DQ18" s="9">
        <v>460.75113952514636</v>
      </c>
      <c r="DR18" s="9">
        <v>828.5494627439407</v>
      </c>
      <c r="DS18" s="9">
        <v>272.8512711591867</v>
      </c>
      <c r="DT18" s="9">
        <v>443.9463692651699</v>
      </c>
      <c r="DU18" s="9">
        <v>175.32052349675502</v>
      </c>
      <c r="DV18" s="9">
        <v>79.71566091954023</v>
      </c>
      <c r="DW18" s="9">
        <v>72.45965184924545</v>
      </c>
      <c r="DX18" s="9">
        <v>289.62239717726175</v>
      </c>
      <c r="DY18" s="9">
        <v>242.60942975818432</v>
      </c>
      <c r="DZ18" s="9">
        <v>381.5278794276331</v>
      </c>
      <c r="EA18" s="9">
        <v>395.1889512219422</v>
      </c>
      <c r="EB18" s="9">
        <v>870.7626706986096</v>
      </c>
      <c r="EC18" s="9">
        <v>295.2274743416091</v>
      </c>
      <c r="ED18" s="9">
        <v>5514.226816644344</v>
      </c>
      <c r="EE18" s="9">
        <v>563.0820126419126</v>
      </c>
      <c r="EF18" s="9">
        <v>826.7498627222487</v>
      </c>
      <c r="EG18" s="9">
        <v>667.8080017731971</v>
      </c>
      <c r="EH18" s="9">
        <v>539.8330446527888</v>
      </c>
      <c r="EI18" s="9">
        <v>869.2969102731934</v>
      </c>
      <c r="EJ18" s="9">
        <v>587.2141826456203</v>
      </c>
      <c r="EK18" s="9">
        <v>426.489703601129</v>
      </c>
      <c r="EL18" s="9">
        <v>458.58803886404394</v>
      </c>
      <c r="EM18" s="9">
        <v>575.16505947021</v>
      </c>
      <c r="EN18" s="9">
        <v>9858.89973320066</v>
      </c>
      <c r="EO18" s="9">
        <v>2526.227096591325</v>
      </c>
      <c r="EP18" s="9">
        <v>2451.505569806714</v>
      </c>
      <c r="EQ18" s="9">
        <v>1410.1775990077158</v>
      </c>
      <c r="ER18" s="9">
        <v>884.0777764535551</v>
      </c>
      <c r="ES18" s="9">
        <v>2586.9116913413495</v>
      </c>
      <c r="ET18" s="9">
        <v>5484.535011974756</v>
      </c>
      <c r="EU18" s="9">
        <v>5281.7731005917385</v>
      </c>
      <c r="EV18" s="9">
        <v>202.76191138301817</v>
      </c>
      <c r="EW18" s="9">
        <v>63.88649425287356</v>
      </c>
      <c r="EX18" s="9">
        <v>138.87541713014463</v>
      </c>
      <c r="EY18" s="9">
        <v>5281.7731005917385</v>
      </c>
      <c r="EZ18" s="9">
        <v>2229.504782020335</v>
      </c>
      <c r="FA18" s="9">
        <v>1710.0374023543418</v>
      </c>
      <c r="FB18" s="9">
        <v>633.6114238798967</v>
      </c>
      <c r="FC18" s="9">
        <v>704.404214559387</v>
      </c>
      <c r="FD18" s="9">
        <v>4.215277777777778</v>
      </c>
      <c r="FE18" s="9">
        <v>844.7598549282524</v>
      </c>
      <c r="FF18" s="9">
        <v>814.2130417962512</v>
      </c>
      <c r="FG18" s="9">
        <v>539.5362446684272</v>
      </c>
      <c r="FH18" s="9">
        <v>818.912988795815</v>
      </c>
      <c r="FI18" s="9">
        <v>767.9786275503898</v>
      </c>
      <c r="FJ18" s="9">
        <v>280.6637117583407</v>
      </c>
      <c r="FK18" s="9">
        <v>246.73753127687857</v>
      </c>
      <c r="FL18" s="9">
        <v>205.49630986432393</v>
      </c>
      <c r="FM18" s="9">
        <v>23.77809054656345</v>
      </c>
      <c r="FN18" s="9">
        <v>315.5674393506012</v>
      </c>
      <c r="FO18" s="9">
        <v>197.9448275862069</v>
      </c>
      <c r="FP18" s="9">
        <v>84.92222222222222</v>
      </c>
      <c r="FQ18" s="9">
        <v>0</v>
      </c>
      <c r="FR18" s="9">
        <v>15</v>
      </c>
      <c r="FS18" s="9">
        <v>126.26221024746567</v>
      </c>
      <c r="FT18" s="9">
        <v>5281.7731005917385</v>
      </c>
      <c r="FU18" s="9">
        <v>176.146146102119</v>
      </c>
      <c r="FV18" s="9">
        <v>1373.964598987537</v>
      </c>
      <c r="FW18" s="9">
        <v>495.4978122264849</v>
      </c>
      <c r="FX18" s="9">
        <v>295.9264512219422</v>
      </c>
      <c r="FY18" s="9">
        <v>314.5674393506012</v>
      </c>
      <c r="FZ18" s="9">
        <v>119.58328304440055</v>
      </c>
      <c r="GA18" s="9">
        <v>65.7245044569552</v>
      </c>
      <c r="GB18" s="9">
        <v>129.25965184924544</v>
      </c>
      <c r="GC18" s="9">
        <v>339.1439516129032</v>
      </c>
      <c r="GD18" s="9">
        <v>505.6159033153491</v>
      </c>
      <c r="GE18" s="9">
        <v>594.225939157643</v>
      </c>
      <c r="GF18" s="9">
        <v>1694.30537123637</v>
      </c>
      <c r="GG18" s="9">
        <v>1263.403899930384</v>
      </c>
      <c r="GH18" s="9">
        <v>10</v>
      </c>
      <c r="GI18" s="9">
        <v>237.27777777777777</v>
      </c>
      <c r="GJ18" s="9">
        <v>69</v>
      </c>
      <c r="GK18" s="9">
        <v>71.62369352820846</v>
      </c>
      <c r="GL18" s="9">
        <v>43</v>
      </c>
      <c r="GM18" s="9">
        <v>7387.842319161628</v>
      </c>
      <c r="GN18" s="9">
        <v>962.0641594401943</v>
      </c>
      <c r="GO18" s="9">
        <v>2</v>
      </c>
      <c r="GP18" s="9">
        <v>170.72708479943702</v>
      </c>
      <c r="GQ18" s="9">
        <v>515.29115025135</v>
      </c>
      <c r="GR18" s="9">
        <v>24.875</v>
      </c>
      <c r="GS18" s="9">
        <v>3136.283260501086</v>
      </c>
      <c r="GT18" s="9">
        <v>739.6454571279754</v>
      </c>
      <c r="GU18" s="9">
        <v>19.27777777777778</v>
      </c>
      <c r="GV18" s="9">
        <v>287.8979885057471</v>
      </c>
      <c r="GW18" s="9">
        <v>1411.0503047288623</v>
      </c>
      <c r="GX18" s="9">
        <v>118.73013602919849</v>
      </c>
    </row>
    <row r="19" spans="1:206" ht="12.75">
      <c r="A19" s="5" t="s">
        <v>347</v>
      </c>
      <c r="B19" s="9">
        <v>4867.41364676</v>
      </c>
      <c r="C19" s="9">
        <v>6138.842949907235</v>
      </c>
      <c r="D19" s="9">
        <v>244.89805194805194</v>
      </c>
      <c r="E19" s="9">
        <v>670.6876704041299</v>
      </c>
      <c r="F19" s="9">
        <v>691.281846414455</v>
      </c>
      <c r="G19" s="9">
        <v>897.9363918690005</v>
      </c>
      <c r="H19" s="9">
        <v>1597.755658627087</v>
      </c>
      <c r="I19" s="9">
        <v>1418.5308905380334</v>
      </c>
      <c r="J19" s="9">
        <v>617.7524401064774</v>
      </c>
      <c r="K19" s="9">
        <v>915.5857223521821</v>
      </c>
      <c r="L19" s="9">
        <v>3768.7108292328785</v>
      </c>
      <c r="M19" s="9">
        <v>1454.5463983221748</v>
      </c>
      <c r="N19" s="9">
        <v>3119.8789586190205</v>
      </c>
      <c r="O19" s="9">
        <v>3018.963991288215</v>
      </c>
      <c r="P19" s="9">
        <v>6077.842949907235</v>
      </c>
      <c r="Q19" s="9">
        <v>61</v>
      </c>
      <c r="R19" s="9">
        <v>2920.7183512140036</v>
      </c>
      <c r="S19" s="9">
        <v>1072.9691336613696</v>
      </c>
      <c r="T19" s="9">
        <v>1119.320597725256</v>
      </c>
      <c r="U19" s="9">
        <v>335.0173267726062</v>
      </c>
      <c r="V19" s="9">
        <v>261.13669436153907</v>
      </c>
      <c r="W19" s="9">
        <v>96.10068564975398</v>
      </c>
      <c r="X19" s="9">
        <v>36.173913043478265</v>
      </c>
      <c r="Y19" s="9">
        <v>1987.940271839961</v>
      </c>
      <c r="Z19" s="9">
        <v>397.1415947406631</v>
      </c>
      <c r="AA19" s="9">
        <v>97.9795918367347</v>
      </c>
      <c r="AB19" s="9">
        <v>217.47774864886662</v>
      </c>
      <c r="AC19" s="9">
        <v>157.97109381301928</v>
      </c>
      <c r="AD19" s="9">
        <v>3910.6666572557874</v>
      </c>
      <c r="AE19" s="9">
        <v>450.0376421714931</v>
      </c>
      <c r="AF19" s="9">
        <v>1397.3463297571993</v>
      </c>
      <c r="AG19" s="9">
        <v>799.7391344680165</v>
      </c>
      <c r="AH19" s="9">
        <v>273.5952448172945</v>
      </c>
      <c r="AI19" s="9">
        <v>3093.9042671614097</v>
      </c>
      <c r="AJ19" s="9">
        <v>1922.8378599661207</v>
      </c>
      <c r="AK19" s="9">
        <v>835.3501613293539</v>
      </c>
      <c r="AL19" s="9">
        <v>226.46233362910382</v>
      </c>
      <c r="AM19" s="9">
        <v>60.28832782124708</v>
      </c>
      <c r="AN19" s="9">
        <v>550.7304388158426</v>
      </c>
      <c r="AO19" s="9">
        <v>772.6742195692507</v>
      </c>
      <c r="AP19" s="9">
        <v>4815.438291522142</v>
      </c>
      <c r="AQ19" s="9">
        <v>5529.925054448657</v>
      </c>
      <c r="AR19" s="9">
        <v>366.3106074050173</v>
      </c>
      <c r="AS19" s="9">
        <v>52.93877551020408</v>
      </c>
      <c r="AT19" s="9">
        <v>38.33754940711462</v>
      </c>
      <c r="AU19" s="9">
        <v>151.33096313624264</v>
      </c>
      <c r="AV19" s="9">
        <v>6138.842949907235</v>
      </c>
      <c r="AW19" s="9">
        <v>4502.712615955473</v>
      </c>
      <c r="AX19" s="9">
        <v>1473.792784544648</v>
      </c>
      <c r="AY19" s="9">
        <v>22.086956521739133</v>
      </c>
      <c r="AZ19" s="9">
        <v>19.086956521739133</v>
      </c>
      <c r="BA19" s="9">
        <v>89.16363636363636</v>
      </c>
      <c r="BB19" s="9">
        <v>16</v>
      </c>
      <c r="BC19" s="9">
        <v>6138.842949907235</v>
      </c>
      <c r="BD19" s="9">
        <v>3565.4727030733243</v>
      </c>
      <c r="BE19" s="9">
        <v>831.8138501250303</v>
      </c>
      <c r="BF19" s="9">
        <v>738.3760385577156</v>
      </c>
      <c r="BG19" s="9">
        <v>150.43478260869566</v>
      </c>
      <c r="BH19" s="9">
        <v>444.1843752520771</v>
      </c>
      <c r="BI19" s="9">
        <v>282.16910542873273</v>
      </c>
      <c r="BJ19" s="9">
        <v>111.39209486166008</v>
      </c>
      <c r="BK19" s="9">
        <v>15</v>
      </c>
      <c r="BL19" s="9">
        <v>6138.842949907235</v>
      </c>
      <c r="BM19" s="9">
        <v>2530.711115592482</v>
      </c>
      <c r="BN19" s="9">
        <v>235.40778817455836</v>
      </c>
      <c r="BO19" s="9">
        <v>675.788489150601</v>
      </c>
      <c r="BP19" s="9">
        <v>8</v>
      </c>
      <c r="BQ19" s="9">
        <v>2106.331906912963</v>
      </c>
      <c r="BR19" s="9">
        <v>532.8286036944421</v>
      </c>
      <c r="BS19" s="9">
        <v>6138.842949907235</v>
      </c>
      <c r="BT19" s="9">
        <v>4270.437872065822</v>
      </c>
      <c r="BU19" s="9">
        <v>1555.9600709849155</v>
      </c>
      <c r="BV19" s="9">
        <v>34.12109381301928</v>
      </c>
      <c r="BW19" s="9">
        <v>21.054545454545455</v>
      </c>
      <c r="BX19" s="9">
        <v>13</v>
      </c>
      <c r="BY19" s="9">
        <v>117.19604743083003</v>
      </c>
      <c r="BZ19" s="9">
        <v>257.2693675889328</v>
      </c>
      <c r="CA19" s="9">
        <v>24</v>
      </c>
      <c r="CB19" s="9">
        <v>26.086956521739133</v>
      </c>
      <c r="CC19" s="9">
        <v>38.10909090909091</v>
      </c>
      <c r="CD19" s="9">
        <v>169.07332015810277</v>
      </c>
      <c r="CE19" s="9">
        <v>5996.938218923933</v>
      </c>
      <c r="CF19" s="9">
        <v>5954.655214971364</v>
      </c>
      <c r="CG19" s="9">
        <v>39.19604743083004</v>
      </c>
      <c r="CH19" s="9">
        <v>3.0869565217391304</v>
      </c>
      <c r="CI19" s="9">
        <v>303.97118657739776</v>
      </c>
      <c r="CJ19" s="9">
        <v>5512.813527466322</v>
      </c>
      <c r="CK19" s="9">
        <v>1174.380555779624</v>
      </c>
      <c r="CL19" s="9">
        <v>293.296733080584</v>
      </c>
      <c r="CM19" s="9">
        <v>4605.504787448575</v>
      </c>
      <c r="CN19" s="9">
        <v>615.2188432685327</v>
      </c>
      <c r="CO19" s="9">
        <v>1487.1952488505283</v>
      </c>
      <c r="CP19" s="9">
        <v>759.4319391788335</v>
      </c>
      <c r="CQ19" s="9">
        <v>198.33428248769863</v>
      </c>
      <c r="CR19" s="9">
        <v>36.99836654029201</v>
      </c>
      <c r="CS19" s="9">
        <v>13</v>
      </c>
      <c r="CT19" s="9">
        <v>4605.504787448575</v>
      </c>
      <c r="CU19" s="9">
        <v>1495.3261071226912</v>
      </c>
      <c r="CV19" s="9">
        <v>959.7919536984754</v>
      </c>
      <c r="CW19" s="9">
        <v>152.1415019762846</v>
      </c>
      <c r="CX19" s="9">
        <v>161.03259659595062</v>
      </c>
      <c r="CY19" s="9">
        <v>146.31218843268533</v>
      </c>
      <c r="CZ19" s="9">
        <v>76.04786641929499</v>
      </c>
      <c r="DA19" s="9">
        <v>198.33428248769863</v>
      </c>
      <c r="DB19" s="9">
        <v>44.12109381301928</v>
      </c>
      <c r="DC19" s="9">
        <v>58.08532306203114</v>
      </c>
      <c r="DD19" s="9">
        <v>15</v>
      </c>
      <c r="DE19" s="9">
        <v>2898.8443978381865</v>
      </c>
      <c r="DF19" s="9">
        <v>226.04810438009196</v>
      </c>
      <c r="DG19" s="9">
        <v>619.2885657820441</v>
      </c>
      <c r="DH19" s="9">
        <v>442.394151810922</v>
      </c>
      <c r="DI19" s="9">
        <v>1019.6324151004276</v>
      </c>
      <c r="DJ19" s="9">
        <v>591.4811607647011</v>
      </c>
      <c r="DK19" s="9">
        <v>2898.8443978381865</v>
      </c>
      <c r="DL19" s="9">
        <v>336.55956683068484</v>
      </c>
      <c r="DM19" s="9">
        <v>33.08695652173913</v>
      </c>
      <c r="DN19" s="9">
        <v>116.01877470355731</v>
      </c>
      <c r="DO19" s="9">
        <v>27</v>
      </c>
      <c r="DP19" s="9">
        <v>34.034137291280146</v>
      </c>
      <c r="DQ19" s="9">
        <v>346.33797289666853</v>
      </c>
      <c r="DR19" s="9">
        <v>275.3600145196418</v>
      </c>
      <c r="DS19" s="9">
        <v>149.0409090909091</v>
      </c>
      <c r="DT19" s="9">
        <v>304.24396628216505</v>
      </c>
      <c r="DU19" s="9">
        <v>55.025732031943214</v>
      </c>
      <c r="DV19" s="9">
        <v>25.141501976284587</v>
      </c>
      <c r="DW19" s="9">
        <v>77.22682503831572</v>
      </c>
      <c r="DX19" s="9">
        <v>95.17064612406227</v>
      </c>
      <c r="DY19" s="9">
        <v>101.22845849802371</v>
      </c>
      <c r="DZ19" s="9">
        <v>157.95231910946197</v>
      </c>
      <c r="EA19" s="9">
        <v>253.99168750504157</v>
      </c>
      <c r="EB19" s="9">
        <v>363.48110833266117</v>
      </c>
      <c r="EC19" s="9">
        <v>147.94382108574655</v>
      </c>
      <c r="ED19" s="9">
        <v>2898.8443978381865</v>
      </c>
      <c r="EE19" s="9">
        <v>363.1485117367105</v>
      </c>
      <c r="EF19" s="9">
        <v>367.7760224247802</v>
      </c>
      <c r="EG19" s="9">
        <v>275.39055416633056</v>
      </c>
      <c r="EH19" s="9">
        <v>232.1586432201339</v>
      </c>
      <c r="EI19" s="9">
        <v>690.3655763491167</v>
      </c>
      <c r="EJ19" s="9">
        <v>315.17923691215617</v>
      </c>
      <c r="EK19" s="9">
        <v>93.07187222715173</v>
      </c>
      <c r="EL19" s="9">
        <v>248.26437444543035</v>
      </c>
      <c r="EM19" s="9">
        <v>313.4896063563765</v>
      </c>
      <c r="EN19" s="9">
        <v>5223.257227555054</v>
      </c>
      <c r="EO19" s="9">
        <v>1467.049165120594</v>
      </c>
      <c r="EP19" s="9">
        <v>1252.255404533355</v>
      </c>
      <c r="EQ19" s="9">
        <v>768.9616237799468</v>
      </c>
      <c r="ER19" s="9">
        <v>409.3632814390578</v>
      </c>
      <c r="ES19" s="9">
        <v>1325.6277526821004</v>
      </c>
      <c r="ET19" s="9">
        <v>3685.3034121158344</v>
      </c>
      <c r="EU19" s="9">
        <v>2920.7183512140036</v>
      </c>
      <c r="EV19" s="9">
        <v>764.5850609018311</v>
      </c>
      <c r="EW19" s="9">
        <v>616.8439138501251</v>
      </c>
      <c r="EX19" s="9">
        <v>147.74114705170604</v>
      </c>
      <c r="EY19" s="9">
        <v>2917.7183512140036</v>
      </c>
      <c r="EZ19" s="9">
        <v>1825.8912357828508</v>
      </c>
      <c r="FA19" s="9">
        <v>831.5815156892796</v>
      </c>
      <c r="FB19" s="9">
        <v>158.05291199483747</v>
      </c>
      <c r="FC19" s="9">
        <v>80.93181818181819</v>
      </c>
      <c r="FD19" s="9">
        <v>21.26086956521739</v>
      </c>
      <c r="FE19" s="9">
        <v>509.7677099298217</v>
      </c>
      <c r="FF19" s="9">
        <v>563.201423731548</v>
      </c>
      <c r="FG19" s="9">
        <v>295.1828345567476</v>
      </c>
      <c r="FH19" s="9">
        <v>525.5630192788578</v>
      </c>
      <c r="FI19" s="9">
        <v>330.02932967653464</v>
      </c>
      <c r="FJ19" s="9">
        <v>138.26096232959588</v>
      </c>
      <c r="FK19" s="9">
        <v>124.13823505686858</v>
      </c>
      <c r="FL19" s="9">
        <v>93.05986932322335</v>
      </c>
      <c r="FM19" s="9">
        <v>11.931818181818182</v>
      </c>
      <c r="FN19" s="9">
        <v>116.93181818181819</v>
      </c>
      <c r="FO19" s="9">
        <v>91.3699604743083</v>
      </c>
      <c r="FP19" s="9">
        <v>41.08695652173913</v>
      </c>
      <c r="FQ19" s="9">
        <v>0</v>
      </c>
      <c r="FR19" s="9">
        <v>13.998366540292006</v>
      </c>
      <c r="FS19" s="9">
        <v>66.19604743083005</v>
      </c>
      <c r="FT19" s="9">
        <v>2920.7183512140036</v>
      </c>
      <c r="FU19" s="9">
        <v>59.96595547309833</v>
      </c>
      <c r="FV19" s="9">
        <v>581.1079737033153</v>
      </c>
      <c r="FW19" s="9">
        <v>187.95927643784785</v>
      </c>
      <c r="FX19" s="9">
        <v>137.05660240380735</v>
      </c>
      <c r="FY19" s="9">
        <v>116.93181818181819</v>
      </c>
      <c r="FZ19" s="9">
        <v>45</v>
      </c>
      <c r="GA19" s="9">
        <v>31</v>
      </c>
      <c r="GB19" s="9">
        <v>40.93181818181819</v>
      </c>
      <c r="GC19" s="9">
        <v>229.3940590465435</v>
      </c>
      <c r="GD19" s="9">
        <v>280.3736508832782</v>
      </c>
      <c r="GE19" s="9">
        <v>324.37878922319913</v>
      </c>
      <c r="GF19" s="9">
        <v>1009.332693393563</v>
      </c>
      <c r="GG19" s="9">
        <v>752.0442728079374</v>
      </c>
      <c r="GH19" s="9">
        <v>2.0545454545454547</v>
      </c>
      <c r="GI19" s="9">
        <v>136</v>
      </c>
      <c r="GJ19" s="9">
        <v>24</v>
      </c>
      <c r="GK19" s="9">
        <v>60.17932967653464</v>
      </c>
      <c r="GL19" s="9">
        <v>35.054545454545455</v>
      </c>
      <c r="GM19" s="9">
        <v>3734.653162055336</v>
      </c>
      <c r="GN19" s="9">
        <v>887.6486730660644</v>
      </c>
      <c r="GO19" s="9">
        <v>0</v>
      </c>
      <c r="GP19" s="9">
        <v>50.054545454545455</v>
      </c>
      <c r="GQ19" s="9">
        <v>470.6158909413568</v>
      </c>
      <c r="GR19" s="9">
        <v>9</v>
      </c>
      <c r="GS19" s="9">
        <v>1546.11717350972</v>
      </c>
      <c r="GT19" s="9">
        <v>314.7069573283859</v>
      </c>
      <c r="GU19" s="9">
        <v>6</v>
      </c>
      <c r="GV19" s="9">
        <v>19.979591836734695</v>
      </c>
      <c r="GW19" s="9">
        <v>350.4348753730741</v>
      </c>
      <c r="GX19" s="9">
        <v>80.09545454545454</v>
      </c>
    </row>
    <row r="20" spans="1:206" ht="12.75">
      <c r="A20" s="5" t="s">
        <v>348</v>
      </c>
      <c r="B20" s="9">
        <v>278.726052415</v>
      </c>
      <c r="C20" s="9">
        <v>9213.398042398778</v>
      </c>
      <c r="D20" s="9">
        <v>528.028370893812</v>
      </c>
      <c r="E20" s="9">
        <v>1159.1928681612505</v>
      </c>
      <c r="F20" s="9">
        <v>1328.3528079763373</v>
      </c>
      <c r="G20" s="9">
        <v>1597.941232786821</v>
      </c>
      <c r="H20" s="9">
        <v>2047.7189643689644</v>
      </c>
      <c r="I20" s="9">
        <v>1790.3839684824977</v>
      </c>
      <c r="J20" s="9">
        <v>761.7798297290944</v>
      </c>
      <c r="K20" s="9">
        <v>1687.2212390550628</v>
      </c>
      <c r="L20" s="9">
        <v>5746.295493232258</v>
      </c>
      <c r="M20" s="9">
        <v>1779.8813101114572</v>
      </c>
      <c r="N20" s="9">
        <v>4452.663179222738</v>
      </c>
      <c r="O20" s="9">
        <v>4760.73486317604</v>
      </c>
      <c r="P20" s="9">
        <v>9145.398042398778</v>
      </c>
      <c r="Q20" s="9">
        <v>68</v>
      </c>
      <c r="R20" s="9">
        <v>4065.034225578343</v>
      </c>
      <c r="S20" s="9">
        <v>1251.397749064661</v>
      </c>
      <c r="T20" s="9">
        <v>1537.8439998726762</v>
      </c>
      <c r="U20" s="9">
        <v>591.2038865546218</v>
      </c>
      <c r="V20" s="9">
        <v>459.6364175040646</v>
      </c>
      <c r="W20" s="9">
        <v>164.55807158527747</v>
      </c>
      <c r="X20" s="9">
        <v>60.39410099704217</v>
      </c>
      <c r="Y20" s="9">
        <v>2648.1495509392566</v>
      </c>
      <c r="Z20" s="9">
        <v>600.6875859434684</v>
      </c>
      <c r="AA20" s="9">
        <v>263.01314102564106</v>
      </c>
      <c r="AB20" s="9">
        <v>370.9068754774637</v>
      </c>
      <c r="AC20" s="9">
        <v>121.63360389610389</v>
      </c>
      <c r="AD20" s="9">
        <v>5212.38339454663</v>
      </c>
      <c r="AE20" s="9">
        <v>766.311270592153</v>
      </c>
      <c r="AF20" s="9">
        <v>1860.3422736577147</v>
      </c>
      <c r="AG20" s="9">
        <v>1083.5406123288476</v>
      </c>
      <c r="AH20" s="9">
        <v>354.8400689996278</v>
      </c>
      <c r="AI20" s="9">
        <v>4737.1278478874065</v>
      </c>
      <c r="AJ20" s="9">
        <v>2778.248251258545</v>
      </c>
      <c r="AK20" s="9">
        <v>1188.769707498384</v>
      </c>
      <c r="AL20" s="9">
        <v>383.8837757830405</v>
      </c>
      <c r="AM20" s="9">
        <v>125.36845997140115</v>
      </c>
      <c r="AN20" s="9">
        <v>859.2055816732286</v>
      </c>
      <c r="AO20" s="9">
        <v>1025.9966783216782</v>
      </c>
      <c r="AP20" s="9">
        <v>7328.195782403871</v>
      </c>
      <c r="AQ20" s="9">
        <v>8292.337535503713</v>
      </c>
      <c r="AR20" s="9">
        <v>496.1779688448806</v>
      </c>
      <c r="AS20" s="9">
        <v>86.32377059215295</v>
      </c>
      <c r="AT20" s="9">
        <v>67.29281894576013</v>
      </c>
      <c r="AU20" s="9">
        <v>271.2659485122721</v>
      </c>
      <c r="AV20" s="9">
        <v>9213.398042398778</v>
      </c>
      <c r="AW20" s="9">
        <v>7429.23799484829</v>
      </c>
      <c r="AX20" s="9">
        <v>1387.7715710759828</v>
      </c>
      <c r="AY20" s="9">
        <v>53.30595997140115</v>
      </c>
      <c r="AZ20" s="9">
        <v>140</v>
      </c>
      <c r="BA20" s="9">
        <v>109.38178953399542</v>
      </c>
      <c r="BB20" s="9">
        <v>28.088876319758672</v>
      </c>
      <c r="BC20" s="9">
        <v>9213.398042398778</v>
      </c>
      <c r="BD20" s="9">
        <v>5786.795516738164</v>
      </c>
      <c r="BE20" s="9">
        <v>879.4328678674267</v>
      </c>
      <c r="BF20" s="9">
        <v>1382.9245240054063</v>
      </c>
      <c r="BG20" s="9">
        <v>202.98903988168695</v>
      </c>
      <c r="BH20" s="9">
        <v>460.7648432449903</v>
      </c>
      <c r="BI20" s="9">
        <v>270.34312109459165</v>
      </c>
      <c r="BJ20" s="9">
        <v>206.55466127010243</v>
      </c>
      <c r="BK20" s="9">
        <v>23.593468296409473</v>
      </c>
      <c r="BL20" s="9">
        <v>9213.398042398778</v>
      </c>
      <c r="BM20" s="9">
        <v>3586.8096731699675</v>
      </c>
      <c r="BN20" s="9">
        <v>493.2791754813814</v>
      </c>
      <c r="BO20" s="9">
        <v>862.6220054455349</v>
      </c>
      <c r="BP20" s="9">
        <v>8</v>
      </c>
      <c r="BQ20" s="9">
        <v>3426.1548782100253</v>
      </c>
      <c r="BR20" s="9">
        <v>774.8888417954594</v>
      </c>
      <c r="BS20" s="9">
        <v>9213.398042398778</v>
      </c>
      <c r="BT20" s="9">
        <v>7175.587154267301</v>
      </c>
      <c r="BU20" s="9">
        <v>1521.0840294509412</v>
      </c>
      <c r="BV20" s="9">
        <v>52.65466127010245</v>
      </c>
      <c r="BW20" s="9">
        <v>49.31257761845997</v>
      </c>
      <c r="BX20" s="9">
        <v>33.9375</v>
      </c>
      <c r="BY20" s="9">
        <v>220.18031894576012</v>
      </c>
      <c r="BZ20" s="9">
        <v>414.75961979197274</v>
      </c>
      <c r="CA20" s="9">
        <v>47.2862012987013</v>
      </c>
      <c r="CB20" s="9">
        <v>92.9</v>
      </c>
      <c r="CC20" s="9">
        <v>69.9875</v>
      </c>
      <c r="CD20" s="9">
        <v>204.58591849327146</v>
      </c>
      <c r="CE20" s="9">
        <v>8920.687490450726</v>
      </c>
      <c r="CF20" s="9">
        <v>8827.743372803667</v>
      </c>
      <c r="CG20" s="9">
        <v>82.94411764705883</v>
      </c>
      <c r="CH20" s="9">
        <v>10</v>
      </c>
      <c r="CI20" s="9">
        <v>301.77650878533234</v>
      </c>
      <c r="CJ20" s="9">
        <v>8514.091864018335</v>
      </c>
      <c r="CK20" s="9">
        <v>1893.4318186715245</v>
      </c>
      <c r="CL20" s="9">
        <v>418.6554048892284</v>
      </c>
      <c r="CM20" s="9">
        <v>6764.396973614621</v>
      </c>
      <c r="CN20" s="9">
        <v>989.4607204070439</v>
      </c>
      <c r="CO20" s="9">
        <v>2369.4007061565885</v>
      </c>
      <c r="CP20" s="9">
        <v>762.6870107833342</v>
      </c>
      <c r="CQ20" s="9">
        <v>321.5995142112789</v>
      </c>
      <c r="CR20" s="9">
        <v>96.07104072398191</v>
      </c>
      <c r="CS20" s="9">
        <v>24.9375</v>
      </c>
      <c r="CT20" s="9">
        <v>6764.396973614621</v>
      </c>
      <c r="CU20" s="9">
        <v>2200.240481332393</v>
      </c>
      <c r="CV20" s="9">
        <v>1189.620110037022</v>
      </c>
      <c r="CW20" s="9">
        <v>189.07135952283014</v>
      </c>
      <c r="CX20" s="9">
        <v>369.14941161779393</v>
      </c>
      <c r="CY20" s="9">
        <v>343.9995225362872</v>
      </c>
      <c r="CZ20" s="9">
        <v>108.40007761845997</v>
      </c>
      <c r="DA20" s="9">
        <v>321.5995142112789</v>
      </c>
      <c r="DB20" s="9">
        <v>109.69346829640948</v>
      </c>
      <c r="DC20" s="9">
        <v>65.85</v>
      </c>
      <c r="DD20" s="9">
        <v>46</v>
      </c>
      <c r="DE20" s="9">
        <v>4217.619478070948</v>
      </c>
      <c r="DF20" s="9">
        <v>296.6772668507963</v>
      </c>
      <c r="DG20" s="9">
        <v>966.1205764823412</v>
      </c>
      <c r="DH20" s="9">
        <v>640.7615727409845</v>
      </c>
      <c r="DI20" s="9">
        <v>1531.1546938355762</v>
      </c>
      <c r="DJ20" s="9">
        <v>782.9053681612505</v>
      </c>
      <c r="DK20" s="9">
        <v>4217.619478070948</v>
      </c>
      <c r="DL20" s="9">
        <v>197.41210015474718</v>
      </c>
      <c r="DM20" s="9">
        <v>95.06266356192828</v>
      </c>
      <c r="DN20" s="9">
        <v>329.7794499618029</v>
      </c>
      <c r="DO20" s="9">
        <v>11</v>
      </c>
      <c r="DP20" s="9">
        <v>50.606609322050495</v>
      </c>
      <c r="DQ20" s="9">
        <v>497.71225539166716</v>
      </c>
      <c r="DR20" s="9">
        <v>635.6838345478052</v>
      </c>
      <c r="DS20" s="9">
        <v>201.3370058862706</v>
      </c>
      <c r="DT20" s="9">
        <v>317.18441680868153</v>
      </c>
      <c r="DU20" s="9">
        <v>126.30007761845998</v>
      </c>
      <c r="DV20" s="9">
        <v>53.13427601809955</v>
      </c>
      <c r="DW20" s="9">
        <v>36.88878205128205</v>
      </c>
      <c r="DX20" s="9">
        <v>235.79418694051046</v>
      </c>
      <c r="DY20" s="9">
        <v>187.6442035905271</v>
      </c>
      <c r="DZ20" s="9">
        <v>197.8763513447337</v>
      </c>
      <c r="EA20" s="9">
        <v>341.29921695951106</v>
      </c>
      <c r="EB20" s="9">
        <v>531.5059100213512</v>
      </c>
      <c r="EC20" s="9">
        <v>171.39813789152024</v>
      </c>
      <c r="ED20" s="9">
        <v>4217.619478070948</v>
      </c>
      <c r="EE20" s="9">
        <v>364.86489099136156</v>
      </c>
      <c r="EF20" s="9">
        <v>536.9532183502772</v>
      </c>
      <c r="EG20" s="9">
        <v>426.4003187988483</v>
      </c>
      <c r="EH20" s="9">
        <v>438.01556311335725</v>
      </c>
      <c r="EI20" s="9">
        <v>821.5256375976965</v>
      </c>
      <c r="EJ20" s="9">
        <v>436.10915065326833</v>
      </c>
      <c r="EK20" s="9">
        <v>368.6243949677773</v>
      </c>
      <c r="EL20" s="9">
        <v>362.8568505024387</v>
      </c>
      <c r="EM20" s="9">
        <v>462.2694530959236</v>
      </c>
      <c r="EN20" s="9">
        <v>7526.176803343716</v>
      </c>
      <c r="EO20" s="9">
        <v>2081.740247987307</v>
      </c>
      <c r="EP20" s="9">
        <v>1976.9641001155708</v>
      </c>
      <c r="EQ20" s="9">
        <v>1065.8195632798574</v>
      </c>
      <c r="ER20" s="9">
        <v>689.0538593759183</v>
      </c>
      <c r="ES20" s="9">
        <v>1712.5990325850619</v>
      </c>
      <c r="ET20" s="9">
        <v>4355.973726273726</v>
      </c>
      <c r="EU20" s="9">
        <v>4065.034225578343</v>
      </c>
      <c r="EV20" s="9">
        <v>290.939500695383</v>
      </c>
      <c r="EW20" s="9">
        <v>142.2901500460324</v>
      </c>
      <c r="EX20" s="9">
        <v>148.64935064935065</v>
      </c>
      <c r="EY20" s="9">
        <v>4065.034225578343</v>
      </c>
      <c r="EZ20" s="9">
        <v>1857.573255665903</v>
      </c>
      <c r="FA20" s="9">
        <v>1145.85751307516</v>
      </c>
      <c r="FB20" s="9">
        <v>763.6593391902217</v>
      </c>
      <c r="FC20" s="9">
        <v>290.99411764705883</v>
      </c>
      <c r="FD20" s="9">
        <v>6.95</v>
      </c>
      <c r="FE20" s="9">
        <v>550.9421889385125</v>
      </c>
      <c r="FF20" s="9">
        <v>700.4555601261483</v>
      </c>
      <c r="FG20" s="9">
        <v>387.227141485965</v>
      </c>
      <c r="FH20" s="9">
        <v>673.6422832069892</v>
      </c>
      <c r="FI20" s="9">
        <v>556.0569890893421</v>
      </c>
      <c r="FJ20" s="9">
        <v>237.1187094767977</v>
      </c>
      <c r="FK20" s="9">
        <v>189.51796585767173</v>
      </c>
      <c r="FL20" s="9">
        <v>187.8987872421696</v>
      </c>
      <c r="FM20" s="9">
        <v>21.64935064935065</v>
      </c>
      <c r="FN20" s="9">
        <v>267.61846829640945</v>
      </c>
      <c r="FO20" s="9">
        <v>131.96387631975867</v>
      </c>
      <c r="FP20" s="9">
        <v>47.680968296409475</v>
      </c>
      <c r="FQ20" s="9">
        <v>0</v>
      </c>
      <c r="FR20" s="9">
        <v>12.64935064935065</v>
      </c>
      <c r="FS20" s="9">
        <v>100.6125859434683</v>
      </c>
      <c r="FT20" s="9">
        <v>4065.034225578343</v>
      </c>
      <c r="FU20" s="9">
        <v>168.59935064935064</v>
      </c>
      <c r="FV20" s="9">
        <v>1059.2552129243304</v>
      </c>
      <c r="FW20" s="9">
        <v>419.39152024446145</v>
      </c>
      <c r="FX20" s="9">
        <v>264.8809516463928</v>
      </c>
      <c r="FY20" s="9">
        <v>267.61846829640945</v>
      </c>
      <c r="FZ20" s="9">
        <v>95.9875</v>
      </c>
      <c r="GA20" s="9">
        <v>49.63096829640948</v>
      </c>
      <c r="GB20" s="9">
        <v>122</v>
      </c>
      <c r="GC20" s="9">
        <v>234.01852093984448</v>
      </c>
      <c r="GD20" s="9">
        <v>316.923667998668</v>
      </c>
      <c r="GE20" s="9">
        <v>389.85616173042644</v>
      </c>
      <c r="GF20" s="9">
        <v>1187.2294742022682</v>
      </c>
      <c r="GG20" s="9">
        <v>884.3663331766272</v>
      </c>
      <c r="GH20" s="9">
        <v>4.95</v>
      </c>
      <c r="GI20" s="9">
        <v>129</v>
      </c>
      <c r="GJ20" s="9">
        <v>59.02564102564102</v>
      </c>
      <c r="GK20" s="9">
        <v>59</v>
      </c>
      <c r="GL20" s="9">
        <v>50.887499999999996</v>
      </c>
      <c r="GM20" s="9">
        <v>5585.821205755029</v>
      </c>
      <c r="GN20" s="9">
        <v>794.177217880159</v>
      </c>
      <c r="GO20" s="9">
        <v>3</v>
      </c>
      <c r="GP20" s="9">
        <v>96.29355423987776</v>
      </c>
      <c r="GQ20" s="9">
        <v>477.3925971087736</v>
      </c>
      <c r="GR20" s="9">
        <v>19</v>
      </c>
      <c r="GS20" s="9">
        <v>2542.386639096198</v>
      </c>
      <c r="GT20" s="9">
        <v>566.1245002546473</v>
      </c>
      <c r="GU20" s="9">
        <v>11</v>
      </c>
      <c r="GV20" s="9">
        <v>76.66920359052712</v>
      </c>
      <c r="GW20" s="9">
        <v>891.9845027521498</v>
      </c>
      <c r="GX20" s="9">
        <v>107.79299083269672</v>
      </c>
    </row>
    <row r="21" spans="1:206" ht="12.75">
      <c r="A21" s="5" t="s">
        <v>349</v>
      </c>
      <c r="B21" s="9">
        <v>11.1792568464</v>
      </c>
      <c r="C21" s="9">
        <v>8237.982863714778</v>
      </c>
      <c r="D21" s="9">
        <v>412.97439141268933</v>
      </c>
      <c r="E21" s="9">
        <v>952.1383553766533</v>
      </c>
      <c r="F21" s="9">
        <v>1427.8445466743337</v>
      </c>
      <c r="G21" s="9">
        <v>1462.8415852022235</v>
      </c>
      <c r="H21" s="9">
        <v>1802.3064021468278</v>
      </c>
      <c r="I21" s="9">
        <v>1382.717462142994</v>
      </c>
      <c r="J21" s="9">
        <v>797.1601207590569</v>
      </c>
      <c r="K21" s="9">
        <v>1365.1127467893425</v>
      </c>
      <c r="L21" s="9">
        <v>5196.428646731839</v>
      </c>
      <c r="M21" s="9">
        <v>1676.441470193598</v>
      </c>
      <c r="N21" s="9">
        <v>3991.0511500862567</v>
      </c>
      <c r="O21" s="9">
        <v>4246.931713628523</v>
      </c>
      <c r="P21" s="9">
        <v>8163.982863714778</v>
      </c>
      <c r="Q21" s="9">
        <v>74</v>
      </c>
      <c r="R21" s="9">
        <v>3916.0725129384705</v>
      </c>
      <c r="S21" s="9">
        <v>1418.9495687176538</v>
      </c>
      <c r="T21" s="9">
        <v>1421.364951121334</v>
      </c>
      <c r="U21" s="9">
        <v>573.2069580218516</v>
      </c>
      <c r="V21" s="9">
        <v>375.6267107533065</v>
      </c>
      <c r="W21" s="9">
        <v>95.37027027027027</v>
      </c>
      <c r="X21" s="9">
        <v>31.554054054054053</v>
      </c>
      <c r="Y21" s="9">
        <v>2443.0903871957066</v>
      </c>
      <c r="Z21" s="9">
        <v>578.8772282921219</v>
      </c>
      <c r="AA21" s="9">
        <v>512.0989074180563</v>
      </c>
      <c r="AB21" s="9">
        <v>262.19086639831323</v>
      </c>
      <c r="AC21" s="9">
        <v>68.39620471535365</v>
      </c>
      <c r="AD21" s="9">
        <v>4016.681550699636</v>
      </c>
      <c r="AE21" s="9">
        <v>1146.1882978723404</v>
      </c>
      <c r="AF21" s="9">
        <v>1842.962440099674</v>
      </c>
      <c r="AG21" s="9">
        <v>730.3767203373586</v>
      </c>
      <c r="AH21" s="9">
        <v>196.54505462909717</v>
      </c>
      <c r="AI21" s="9">
        <v>4269.065880774391</v>
      </c>
      <c r="AJ21" s="9">
        <v>2506.6077630822315</v>
      </c>
      <c r="AK21" s="9">
        <v>1074.1212478435882</v>
      </c>
      <c r="AL21" s="9">
        <v>299.38320874065556</v>
      </c>
      <c r="AM21" s="9">
        <v>88.8047632739122</v>
      </c>
      <c r="AN21" s="9">
        <v>708.9056066705002</v>
      </c>
      <c r="AO21" s="9">
        <v>912.8072838796242</v>
      </c>
      <c r="AP21" s="9">
        <v>6616.269973164654</v>
      </c>
      <c r="AQ21" s="9">
        <v>7466.617529231358</v>
      </c>
      <c r="AR21" s="9">
        <v>411.6284550507954</v>
      </c>
      <c r="AS21" s="9">
        <v>98.74034885949779</v>
      </c>
      <c r="AT21" s="9">
        <v>66.94594594594594</v>
      </c>
      <c r="AU21" s="9">
        <v>194.05058462718037</v>
      </c>
      <c r="AV21" s="9">
        <v>8237.982863714778</v>
      </c>
      <c r="AW21" s="9">
        <v>7218.424420164845</v>
      </c>
      <c r="AX21" s="9">
        <v>796.1317998849913</v>
      </c>
      <c r="AY21" s="9">
        <v>21.23404255319149</v>
      </c>
      <c r="AZ21" s="9">
        <v>31</v>
      </c>
      <c r="BA21" s="9">
        <v>83.71962813877707</v>
      </c>
      <c r="BB21" s="9">
        <v>41.472972972972975</v>
      </c>
      <c r="BC21" s="9">
        <v>8237.982863714778</v>
      </c>
      <c r="BD21" s="9">
        <v>5437.354197814837</v>
      </c>
      <c r="BE21" s="9">
        <v>586.7261357101783</v>
      </c>
      <c r="BF21" s="9">
        <v>1508.42304964539</v>
      </c>
      <c r="BG21" s="9">
        <v>148.56467318382215</v>
      </c>
      <c r="BH21" s="9">
        <v>259.7728483802952</v>
      </c>
      <c r="BI21" s="9">
        <v>176.43899750814646</v>
      </c>
      <c r="BJ21" s="9">
        <v>111.7029614721104</v>
      </c>
      <c r="BK21" s="9">
        <v>9</v>
      </c>
      <c r="BL21" s="9">
        <v>8237.982863714778</v>
      </c>
      <c r="BM21" s="9">
        <v>3186.6789438374544</v>
      </c>
      <c r="BN21" s="9">
        <v>342.8935691010159</v>
      </c>
      <c r="BO21" s="9">
        <v>476.3837933678359</v>
      </c>
      <c r="BP21" s="9">
        <v>16</v>
      </c>
      <c r="BQ21" s="9">
        <v>3565.7109162353845</v>
      </c>
      <c r="BR21" s="9">
        <v>593.0815986198965</v>
      </c>
      <c r="BS21" s="9">
        <v>8237.982863714778</v>
      </c>
      <c r="BT21" s="9">
        <v>7058.303114816945</v>
      </c>
      <c r="BU21" s="9">
        <v>907.2154590760975</v>
      </c>
      <c r="BV21" s="9">
        <v>32.17882882882883</v>
      </c>
      <c r="BW21" s="9">
        <v>15.114414414414414</v>
      </c>
      <c r="BX21" s="9">
        <v>7.23404255319149</v>
      </c>
      <c r="BY21" s="9">
        <v>101.47297297297297</v>
      </c>
      <c r="BZ21" s="9">
        <v>222.69807360552042</v>
      </c>
      <c r="CA21" s="9">
        <v>26.033333333333335</v>
      </c>
      <c r="CB21" s="9">
        <v>51.234042553191486</v>
      </c>
      <c r="CC21" s="9">
        <v>39.41891891891892</v>
      </c>
      <c r="CD21" s="9">
        <v>106.01177880007667</v>
      </c>
      <c r="CE21" s="9">
        <v>7983.082346175964</v>
      </c>
      <c r="CF21" s="9">
        <v>7921.082346175964</v>
      </c>
      <c r="CG21" s="9">
        <v>55</v>
      </c>
      <c r="CH21" s="9">
        <v>7</v>
      </c>
      <c r="CI21" s="9">
        <v>110.11441441441441</v>
      </c>
      <c r="CJ21" s="9">
        <v>7800.886850680467</v>
      </c>
      <c r="CK21" s="9">
        <v>2390.03130151428</v>
      </c>
      <c r="CL21" s="9">
        <v>261.15926777841673</v>
      </c>
      <c r="CM21" s="9">
        <v>6075.709996166379</v>
      </c>
      <c r="CN21" s="9">
        <v>907.5605712095073</v>
      </c>
      <c r="CO21" s="9">
        <v>2589.6924477669163</v>
      </c>
      <c r="CP21" s="9">
        <v>377.06113666858346</v>
      </c>
      <c r="CQ21" s="9">
        <v>278.4462047153537</v>
      </c>
      <c r="CR21" s="9">
        <v>86.53333333333333</v>
      </c>
      <c r="CS21" s="9">
        <v>11.472972972972974</v>
      </c>
      <c r="CT21" s="9">
        <v>6075.709996166379</v>
      </c>
      <c r="CU21" s="9">
        <v>1824.9433294997123</v>
      </c>
      <c r="CV21" s="9">
        <v>1019.755999616638</v>
      </c>
      <c r="CW21" s="9">
        <v>221.4309564884033</v>
      </c>
      <c r="CX21" s="9">
        <v>232.2331416522906</v>
      </c>
      <c r="CY21" s="9">
        <v>244.1954954954955</v>
      </c>
      <c r="CZ21" s="9">
        <v>107.32773624688518</v>
      </c>
      <c r="DA21" s="9">
        <v>278.4462047153537</v>
      </c>
      <c r="DB21" s="9">
        <v>82.59774774774775</v>
      </c>
      <c r="DC21" s="9">
        <v>60.17882882882883</v>
      </c>
      <c r="DD21" s="9">
        <v>35.554054054054056</v>
      </c>
      <c r="DE21" s="9">
        <v>3960.84748897834</v>
      </c>
      <c r="DF21" s="9">
        <v>282.02986390645964</v>
      </c>
      <c r="DG21" s="9">
        <v>802.0913264328158</v>
      </c>
      <c r="DH21" s="9">
        <v>765.0358539390454</v>
      </c>
      <c r="DI21" s="9">
        <v>1644.2400517538813</v>
      </c>
      <c r="DJ21" s="9">
        <v>467.45039294613764</v>
      </c>
      <c r="DK21" s="9">
        <v>3960.84748897834</v>
      </c>
      <c r="DL21" s="9">
        <v>70.0442112325091</v>
      </c>
      <c r="DM21" s="9">
        <v>70.07702702702703</v>
      </c>
      <c r="DN21" s="9">
        <v>246.12908759823657</v>
      </c>
      <c r="DO21" s="9">
        <v>89</v>
      </c>
      <c r="DP21" s="9">
        <v>250.21358060187848</v>
      </c>
      <c r="DQ21" s="9">
        <v>294.89814069388535</v>
      </c>
      <c r="DR21" s="9">
        <v>530.5591527697911</v>
      </c>
      <c r="DS21" s="9">
        <v>163.33809660724557</v>
      </c>
      <c r="DT21" s="9">
        <v>282.6989074180563</v>
      </c>
      <c r="DU21" s="9">
        <v>159.76106958021853</v>
      </c>
      <c r="DV21" s="9">
        <v>49.25070921985815</v>
      </c>
      <c r="DW21" s="9">
        <v>25.23404255319149</v>
      </c>
      <c r="DX21" s="9">
        <v>304.87600153344835</v>
      </c>
      <c r="DY21" s="9">
        <v>181.9732317423807</v>
      </c>
      <c r="DZ21" s="9">
        <v>366.44588844163314</v>
      </c>
      <c r="EA21" s="9">
        <v>318.8052808127276</v>
      </c>
      <c r="EB21" s="9">
        <v>413.601744297489</v>
      </c>
      <c r="EC21" s="9">
        <v>143.94131684876368</v>
      </c>
      <c r="ED21" s="9">
        <v>3960.84748897834</v>
      </c>
      <c r="EE21" s="9">
        <v>291.219829403872</v>
      </c>
      <c r="EF21" s="9">
        <v>588.7856622580026</v>
      </c>
      <c r="EG21" s="9">
        <v>582.354121142419</v>
      </c>
      <c r="EH21" s="9">
        <v>344.4156411730879</v>
      </c>
      <c r="EI21" s="9">
        <v>624.1473739697143</v>
      </c>
      <c r="EJ21" s="9">
        <v>382.0893904542841</v>
      </c>
      <c r="EK21" s="9">
        <v>380.3240080506038</v>
      </c>
      <c r="EL21" s="9">
        <v>327.59601303431094</v>
      </c>
      <c r="EM21" s="9">
        <v>439.91544949204524</v>
      </c>
      <c r="EN21" s="9">
        <v>6872.870116925436</v>
      </c>
      <c r="EO21" s="9">
        <v>1898.9768065938276</v>
      </c>
      <c r="EP21" s="9">
        <v>1743.159286946521</v>
      </c>
      <c r="EQ21" s="9">
        <v>964.0153919877324</v>
      </c>
      <c r="ER21" s="9">
        <v>874.4633314165229</v>
      </c>
      <c r="ES21" s="9">
        <v>1392.2552999808318</v>
      </c>
      <c r="ET21" s="9">
        <v>4004.2734809277363</v>
      </c>
      <c r="EU21" s="9">
        <v>3916.0725129384705</v>
      </c>
      <c r="EV21" s="9">
        <v>88.20096798926585</v>
      </c>
      <c r="EW21" s="9">
        <v>16.08108108108108</v>
      </c>
      <c r="EX21" s="9">
        <v>72.11988690818477</v>
      </c>
      <c r="EY21" s="9">
        <v>3914.0725129384705</v>
      </c>
      <c r="EZ21" s="9">
        <v>719.110197431474</v>
      </c>
      <c r="FA21" s="9">
        <v>1663.2446808510638</v>
      </c>
      <c r="FB21" s="9">
        <v>1000.7279950162929</v>
      </c>
      <c r="FC21" s="9">
        <v>529.8918918918919</v>
      </c>
      <c r="FD21" s="9">
        <v>1.0977477477477477</v>
      </c>
      <c r="FE21" s="9">
        <v>556.7274199731646</v>
      </c>
      <c r="FF21" s="9">
        <v>862.222148744489</v>
      </c>
      <c r="FG21" s="9">
        <v>370.7578589227525</v>
      </c>
      <c r="FH21" s="9">
        <v>509.35271228675487</v>
      </c>
      <c r="FI21" s="9">
        <v>459.3845600920069</v>
      </c>
      <c r="FJ21" s="9">
        <v>205.4709219858156</v>
      </c>
      <c r="FK21" s="9">
        <v>211.54105807935596</v>
      </c>
      <c r="FL21" s="9">
        <v>173.83179030093925</v>
      </c>
      <c r="FM21" s="9">
        <v>18.08108108108108</v>
      </c>
      <c r="FN21" s="9">
        <v>264.8918918918919</v>
      </c>
      <c r="FO21" s="9">
        <v>142.66962813877709</v>
      </c>
      <c r="FP21" s="9">
        <v>40.027027027027025</v>
      </c>
      <c r="FQ21" s="9">
        <v>5</v>
      </c>
      <c r="FR21" s="9">
        <v>12</v>
      </c>
      <c r="FS21" s="9">
        <v>84.11441441441441</v>
      </c>
      <c r="FT21" s="9">
        <v>3916.0725129384705</v>
      </c>
      <c r="FU21" s="9">
        <v>117.59774774774775</v>
      </c>
      <c r="FV21" s="9">
        <v>938.135269311865</v>
      </c>
      <c r="FW21" s="9">
        <v>345.096013034311</v>
      </c>
      <c r="FX21" s="9">
        <v>197.46287138202032</v>
      </c>
      <c r="FY21" s="9">
        <v>262.8918918918919</v>
      </c>
      <c r="FZ21" s="9">
        <v>99.94594594594595</v>
      </c>
      <c r="GA21" s="9">
        <v>75</v>
      </c>
      <c r="GB21" s="9">
        <v>87.94594594594595</v>
      </c>
      <c r="GC21" s="9">
        <v>225.9939524631014</v>
      </c>
      <c r="GD21" s="9">
        <v>330.73346751006324</v>
      </c>
      <c r="GE21" s="9">
        <v>404.42665324899366</v>
      </c>
      <c r="GF21" s="9">
        <v>1136.9329020509872</v>
      </c>
      <c r="GG21" s="9">
        <v>815.275627755415</v>
      </c>
      <c r="GH21" s="9">
        <v>0</v>
      </c>
      <c r="GI21" s="9">
        <v>169</v>
      </c>
      <c r="GJ21" s="9">
        <v>93.08108108108108</v>
      </c>
      <c r="GK21" s="9">
        <v>27.3421506612996</v>
      </c>
      <c r="GL21" s="9">
        <v>32.234042553191486</v>
      </c>
      <c r="GM21" s="9">
        <v>5153.954188230785</v>
      </c>
      <c r="GN21" s="9">
        <v>570.7408088940003</v>
      </c>
      <c r="GO21" s="9">
        <v>2</v>
      </c>
      <c r="GP21" s="9">
        <v>43</v>
      </c>
      <c r="GQ21" s="9">
        <v>388.4096607245544</v>
      </c>
      <c r="GR21" s="9">
        <v>39.39620471535365</v>
      </c>
      <c r="GS21" s="9">
        <v>2002.5737205290397</v>
      </c>
      <c r="GT21" s="9">
        <v>543.123107149703</v>
      </c>
      <c r="GU21" s="9">
        <v>16.472972972972975</v>
      </c>
      <c r="GV21" s="9">
        <v>48.472972972972975</v>
      </c>
      <c r="GW21" s="9">
        <v>1393.5178263369753</v>
      </c>
      <c r="GX21" s="9">
        <v>106.2469139352118</v>
      </c>
    </row>
    <row r="22" spans="1:206" ht="12.75">
      <c r="A22" s="5" t="s">
        <v>350</v>
      </c>
      <c r="B22" s="9">
        <v>4947.7252370100005</v>
      </c>
      <c r="C22" s="9">
        <v>12239.279979785948</v>
      </c>
      <c r="D22" s="9">
        <v>494.50402083671736</v>
      </c>
      <c r="E22" s="9">
        <v>1541.1232776995685</v>
      </c>
      <c r="F22" s="9">
        <v>1398.0553929557636</v>
      </c>
      <c r="G22" s="9">
        <v>1960.4408026512895</v>
      </c>
      <c r="H22" s="9">
        <v>3164.7024800566714</v>
      </c>
      <c r="I22" s="9">
        <v>2492.8190908639704</v>
      </c>
      <c r="J22" s="9">
        <v>1187.6349147219664</v>
      </c>
      <c r="K22" s="9">
        <v>2035.6272985362862</v>
      </c>
      <c r="L22" s="9">
        <v>7544.287319472268</v>
      </c>
      <c r="M22" s="9">
        <v>2659.365361777393</v>
      </c>
      <c r="N22" s="9">
        <v>6100.15398022813</v>
      </c>
      <c r="O22" s="9">
        <v>6139.1259995578175</v>
      </c>
      <c r="P22" s="9">
        <v>11895.40060763983</v>
      </c>
      <c r="Q22" s="9">
        <v>343.8793721461187</v>
      </c>
      <c r="R22" s="9">
        <v>5418.026156171602</v>
      </c>
      <c r="S22" s="9">
        <v>1756.2047296370495</v>
      </c>
      <c r="T22" s="9">
        <v>2056.2418392982836</v>
      </c>
      <c r="U22" s="9">
        <v>779.2606250564007</v>
      </c>
      <c r="V22" s="9">
        <v>536.0949681899399</v>
      </c>
      <c r="W22" s="9">
        <v>215.15078518959697</v>
      </c>
      <c r="X22" s="9">
        <v>75.0732088003321</v>
      </c>
      <c r="Y22" s="9">
        <v>3866.610317288429</v>
      </c>
      <c r="Z22" s="9">
        <v>468.8012391033624</v>
      </c>
      <c r="AA22" s="9">
        <v>293.3111534643637</v>
      </c>
      <c r="AB22" s="9">
        <v>471.3438556500081</v>
      </c>
      <c r="AC22" s="9">
        <v>217.48256041655387</v>
      </c>
      <c r="AD22" s="9">
        <v>7389.823786976374</v>
      </c>
      <c r="AE22" s="9">
        <v>761.3852482989513</v>
      </c>
      <c r="AF22" s="9">
        <v>2603.8381325013083</v>
      </c>
      <c r="AG22" s="9">
        <v>1547.5280667605175</v>
      </c>
      <c r="AH22" s="9">
        <v>505.27470861082537</v>
      </c>
      <c r="AI22" s="9">
        <v>6562.998859214539</v>
      </c>
      <c r="AJ22" s="9">
        <v>3704.5685354738566</v>
      </c>
      <c r="AK22" s="9">
        <v>1427.7425958813867</v>
      </c>
      <c r="AL22" s="9">
        <v>392.3735446333495</v>
      </c>
      <c r="AM22" s="9">
        <v>151.59644458281446</v>
      </c>
      <c r="AN22" s="9">
        <v>1002.1170853412024</v>
      </c>
      <c r="AO22" s="9">
        <v>1401.7791413088598</v>
      </c>
      <c r="AP22" s="9">
        <v>9835.383753135886</v>
      </c>
      <c r="AQ22" s="9">
        <v>10941.795593742669</v>
      </c>
      <c r="AR22" s="9">
        <v>824.5887084213186</v>
      </c>
      <c r="AS22" s="9">
        <v>84.04765214684065</v>
      </c>
      <c r="AT22" s="9">
        <v>92.8216073781291</v>
      </c>
      <c r="AU22" s="9">
        <v>296.0264180969914</v>
      </c>
      <c r="AV22" s="9">
        <v>12239.279979785948</v>
      </c>
      <c r="AW22" s="9">
        <v>8802.983761889293</v>
      </c>
      <c r="AX22" s="9">
        <v>2853.7042792426955</v>
      </c>
      <c r="AY22" s="9">
        <v>100.08530303030302</v>
      </c>
      <c r="AZ22" s="9">
        <v>48.190000000000005</v>
      </c>
      <c r="BA22" s="9">
        <v>283.2813918818922</v>
      </c>
      <c r="BB22" s="9">
        <v>55</v>
      </c>
      <c r="BC22" s="9">
        <v>12239.279979785948</v>
      </c>
      <c r="BD22" s="9">
        <v>6748.28596585269</v>
      </c>
      <c r="BE22" s="9">
        <v>1715.8399581731549</v>
      </c>
      <c r="BF22" s="9">
        <v>1690.0436939827096</v>
      </c>
      <c r="BG22" s="9">
        <v>397.3396547818868</v>
      </c>
      <c r="BH22" s="9">
        <v>785.575348376559</v>
      </c>
      <c r="BI22" s="9">
        <v>521.7165859458191</v>
      </c>
      <c r="BJ22" s="9">
        <v>350.37210600646125</v>
      </c>
      <c r="BK22" s="9">
        <v>30.106666666666666</v>
      </c>
      <c r="BL22" s="9">
        <v>12239.279979785948</v>
      </c>
      <c r="BM22" s="9">
        <v>4174.514528534301</v>
      </c>
      <c r="BN22" s="9">
        <v>709.589480706409</v>
      </c>
      <c r="BO22" s="9">
        <v>1690.3277789358744</v>
      </c>
      <c r="BP22" s="9">
        <v>12</v>
      </c>
      <c r="BQ22" s="9">
        <v>4393.614086532388</v>
      </c>
      <c r="BR22" s="9">
        <v>1158.3089588860612</v>
      </c>
      <c r="BS22" s="9">
        <v>12239.279979785948</v>
      </c>
      <c r="BT22" s="9">
        <v>8327.988930008843</v>
      </c>
      <c r="BU22" s="9">
        <v>3103.7120868301836</v>
      </c>
      <c r="BV22" s="9">
        <v>87.13446969696969</v>
      </c>
      <c r="BW22" s="9">
        <v>74.64613636363637</v>
      </c>
      <c r="BX22" s="9">
        <v>46.19530303030303</v>
      </c>
      <c r="BY22" s="9">
        <v>284.3630309347194</v>
      </c>
      <c r="BZ22" s="9">
        <v>644.798356886314</v>
      </c>
      <c r="CA22" s="9">
        <v>96.05187214611873</v>
      </c>
      <c r="CB22" s="9">
        <v>79.30648880105403</v>
      </c>
      <c r="CC22" s="9">
        <v>125.06581749598426</v>
      </c>
      <c r="CD22" s="9">
        <v>344.374178443157</v>
      </c>
      <c r="CE22" s="9">
        <v>11950.536039895682</v>
      </c>
      <c r="CF22" s="9">
        <v>11873.331088039418</v>
      </c>
      <c r="CG22" s="9">
        <v>68.25974637681159</v>
      </c>
      <c r="CH22" s="9">
        <v>8.945205479452055</v>
      </c>
      <c r="CI22" s="9">
        <v>1272.5809055263776</v>
      </c>
      <c r="CJ22" s="9">
        <v>10175.667617403938</v>
      </c>
      <c r="CK22" s="9">
        <v>1849.474306630931</v>
      </c>
      <c r="CL22" s="9">
        <v>969.6183793112784</v>
      </c>
      <c r="CM22" s="9">
        <v>9016.017766527695</v>
      </c>
      <c r="CN22" s="9">
        <v>1252.1714595177505</v>
      </c>
      <c r="CO22" s="9">
        <v>2989.3643523381515</v>
      </c>
      <c r="CP22" s="9">
        <v>1625.5482275254028</v>
      </c>
      <c r="CQ22" s="9">
        <v>302.13578455790787</v>
      </c>
      <c r="CR22" s="9">
        <v>92.11441040843215</v>
      </c>
      <c r="CS22" s="9">
        <v>15.921969696969697</v>
      </c>
      <c r="CT22" s="9">
        <v>9016.017766527695</v>
      </c>
      <c r="CU22" s="9">
        <v>2738.7615624830796</v>
      </c>
      <c r="CV22" s="9">
        <v>1684.8185898442432</v>
      </c>
      <c r="CW22" s="9">
        <v>301.34680753334413</v>
      </c>
      <c r="CX22" s="9">
        <v>317.3447087461873</v>
      </c>
      <c r="CY22" s="9">
        <v>297.13263035356545</v>
      </c>
      <c r="CZ22" s="9">
        <v>138.11882600573938</v>
      </c>
      <c r="DA22" s="9">
        <v>302.13578455790787</v>
      </c>
      <c r="DB22" s="9">
        <v>72.88393939393939</v>
      </c>
      <c r="DC22" s="9">
        <v>85.1192694063927</v>
      </c>
      <c r="DD22" s="9">
        <v>15.106666666666666</v>
      </c>
      <c r="DE22" s="9">
        <v>5959.198449789737</v>
      </c>
      <c r="DF22" s="9">
        <v>517.3153259515946</v>
      </c>
      <c r="DG22" s="9">
        <v>1238.3529806251918</v>
      </c>
      <c r="DH22" s="9">
        <v>882.1414792805963</v>
      </c>
      <c r="DI22" s="9">
        <v>2085.434220360243</v>
      </c>
      <c r="DJ22" s="9">
        <v>1235.9544435721118</v>
      </c>
      <c r="DK22" s="9">
        <v>5959.198449789737</v>
      </c>
      <c r="DL22" s="9">
        <v>464.17355654520185</v>
      </c>
      <c r="DM22" s="9">
        <v>51.90717517642175</v>
      </c>
      <c r="DN22" s="9">
        <v>259.0207582074467</v>
      </c>
      <c r="DO22" s="9">
        <v>41.946969696969695</v>
      </c>
      <c r="DP22" s="9">
        <v>51.11594202898551</v>
      </c>
      <c r="DQ22" s="9">
        <v>675.6370362048117</v>
      </c>
      <c r="DR22" s="9">
        <v>683.5381289818977</v>
      </c>
      <c r="DS22" s="9">
        <v>320.6037033678055</v>
      </c>
      <c r="DT22" s="9">
        <v>811.7291500622666</v>
      </c>
      <c r="DU22" s="9">
        <v>102.1139070875521</v>
      </c>
      <c r="DV22" s="9">
        <v>54.1444808417709</v>
      </c>
      <c r="DW22" s="9">
        <v>80.36078645297525</v>
      </c>
      <c r="DX22" s="9">
        <v>289.0073108542242</v>
      </c>
      <c r="DY22" s="9">
        <v>186.82393470139152</v>
      </c>
      <c r="DZ22" s="9">
        <v>289.09721862761023</v>
      </c>
      <c r="EA22" s="9">
        <v>517.752771987294</v>
      </c>
      <c r="EB22" s="9">
        <v>755.1188760445431</v>
      </c>
      <c r="EC22" s="9">
        <v>325.1067429205696</v>
      </c>
      <c r="ED22" s="9">
        <v>5959.198449789737</v>
      </c>
      <c r="EE22" s="9">
        <v>747.4004919053549</v>
      </c>
      <c r="EF22" s="9">
        <v>861.2760788348043</v>
      </c>
      <c r="EG22" s="9">
        <v>511.9691797065353</v>
      </c>
      <c r="EH22" s="9">
        <v>502.24695968018483</v>
      </c>
      <c r="EI22" s="9">
        <v>1317.2202323262404</v>
      </c>
      <c r="EJ22" s="9">
        <v>604.916442552385</v>
      </c>
      <c r="EK22" s="9">
        <v>338.33285167036655</v>
      </c>
      <c r="EL22" s="9">
        <v>439.69041159059327</v>
      </c>
      <c r="EM22" s="9">
        <v>636.1458015232732</v>
      </c>
      <c r="EN22" s="9">
        <v>10203.652681249661</v>
      </c>
      <c r="EO22" s="9">
        <v>2317.3135181475263</v>
      </c>
      <c r="EP22" s="9">
        <v>2317.122467152165</v>
      </c>
      <c r="EQ22" s="9">
        <v>1548.2289021242802</v>
      </c>
      <c r="ER22" s="9">
        <v>851.9703436840111</v>
      </c>
      <c r="ES22" s="9">
        <v>3169.017450141679</v>
      </c>
      <c r="ET22" s="9">
        <v>6657.01595204577</v>
      </c>
      <c r="EU22" s="9">
        <v>5418.026156171602</v>
      </c>
      <c r="EV22" s="9">
        <v>1238.9897958741674</v>
      </c>
      <c r="EW22" s="9">
        <v>1074.4941404064468</v>
      </c>
      <c r="EX22" s="9">
        <v>164.4956554677207</v>
      </c>
      <c r="EY22" s="9">
        <v>5415.96818515711</v>
      </c>
      <c r="EZ22" s="9">
        <v>3304.7270417095315</v>
      </c>
      <c r="FA22" s="9">
        <v>1372.5288898514627</v>
      </c>
      <c r="FB22" s="9">
        <v>385.9905797101449</v>
      </c>
      <c r="FC22" s="9">
        <v>307.6911001317523</v>
      </c>
      <c r="FD22" s="9">
        <v>45.03057375421878</v>
      </c>
      <c r="FE22" s="9">
        <v>802.4421659266881</v>
      </c>
      <c r="FF22" s="9">
        <v>953.7625637103614</v>
      </c>
      <c r="FG22" s="9">
        <v>551.63297151082</v>
      </c>
      <c r="FH22" s="9">
        <v>928.7733573826412</v>
      </c>
      <c r="FI22" s="9">
        <v>730.4937033678056</v>
      </c>
      <c r="FJ22" s="9">
        <v>289.37356642662485</v>
      </c>
      <c r="FK22" s="9">
        <v>246.41513035356542</v>
      </c>
      <c r="FL22" s="9">
        <v>202.53951314815816</v>
      </c>
      <c r="FM22" s="9">
        <v>33.894572436695725</v>
      </c>
      <c r="FN22" s="9">
        <v>272.35780366199214</v>
      </c>
      <c r="FO22" s="9">
        <v>162.29045517714366</v>
      </c>
      <c r="FP22" s="9">
        <v>85.94648284512787</v>
      </c>
      <c r="FQ22" s="9">
        <v>0</v>
      </c>
      <c r="FR22" s="9">
        <v>20.979166666666664</v>
      </c>
      <c r="FS22" s="9">
        <v>137.12470355731224</v>
      </c>
      <c r="FT22" s="9">
        <v>5418.026156171602</v>
      </c>
      <c r="FU22" s="9">
        <v>111.97388010540185</v>
      </c>
      <c r="FV22" s="9">
        <v>1291.3375030230836</v>
      </c>
      <c r="FW22" s="9">
        <v>384.71706774414787</v>
      </c>
      <c r="FX22" s="9">
        <v>296.2653417889436</v>
      </c>
      <c r="FY22" s="9">
        <v>271.35780366199214</v>
      </c>
      <c r="FZ22" s="9">
        <v>111.98095254209755</v>
      </c>
      <c r="GA22" s="9">
        <v>87.31624505928853</v>
      </c>
      <c r="GB22" s="9">
        <v>72.06060606060606</v>
      </c>
      <c r="GC22" s="9">
        <v>358.41142951251646</v>
      </c>
      <c r="GD22" s="9">
        <v>444.0307364141715</v>
      </c>
      <c r="GE22" s="9">
        <v>659.4975116411284</v>
      </c>
      <c r="GF22" s="9">
        <v>1745.5061828379087</v>
      </c>
      <c r="GG22" s="9">
        <v>1404.3541855270994</v>
      </c>
      <c r="GH22" s="9">
        <v>5</v>
      </c>
      <c r="GI22" s="9">
        <v>137</v>
      </c>
      <c r="GJ22" s="9">
        <v>44.16463768115942</v>
      </c>
      <c r="GK22" s="9">
        <v>96.98384779901455</v>
      </c>
      <c r="GL22" s="9">
        <v>58.00351183063512</v>
      </c>
      <c r="GM22" s="9">
        <v>7834.666597632068</v>
      </c>
      <c r="GN22" s="9">
        <v>1808.9399177450503</v>
      </c>
      <c r="GO22" s="9">
        <v>5</v>
      </c>
      <c r="GP22" s="9">
        <v>95.09140708755211</v>
      </c>
      <c r="GQ22" s="9">
        <v>844.454583446135</v>
      </c>
      <c r="GR22" s="9">
        <v>16.891666666666666</v>
      </c>
      <c r="GS22" s="9">
        <v>3125.9138766311116</v>
      </c>
      <c r="GT22" s="9">
        <v>630.8171823957261</v>
      </c>
      <c r="GU22" s="9">
        <v>11</v>
      </c>
      <c r="GV22" s="9">
        <v>120.27124505928853</v>
      </c>
      <c r="GW22" s="9">
        <v>1059.049840498493</v>
      </c>
      <c r="GX22" s="9">
        <v>117.23687810204486</v>
      </c>
    </row>
    <row r="23" spans="1:206" ht="12.75">
      <c r="A23" s="5" t="s">
        <v>351</v>
      </c>
      <c r="B23" s="9">
        <v>23.691183806</v>
      </c>
      <c r="C23" s="9">
        <v>7591.556998556998</v>
      </c>
      <c r="D23" s="9">
        <v>449.1399711399711</v>
      </c>
      <c r="E23" s="9">
        <v>942.005772005772</v>
      </c>
      <c r="F23" s="9">
        <v>1381.6421356421356</v>
      </c>
      <c r="G23" s="9">
        <v>1333.6493506493507</v>
      </c>
      <c r="H23" s="9">
        <v>1645.2409812409812</v>
      </c>
      <c r="I23" s="9">
        <v>1224.6883116883118</v>
      </c>
      <c r="J23" s="9">
        <v>615.1904761904761</v>
      </c>
      <c r="K23" s="9">
        <v>1391.1457431457432</v>
      </c>
      <c r="L23" s="9">
        <v>4877.152958152958</v>
      </c>
      <c r="M23" s="9">
        <v>1323.2582972582973</v>
      </c>
      <c r="N23" s="9">
        <v>3729.044733044733</v>
      </c>
      <c r="O23" s="9">
        <v>3862.5122655122655</v>
      </c>
      <c r="P23" s="9">
        <v>7489.556998556998</v>
      </c>
      <c r="Q23" s="9">
        <v>102</v>
      </c>
      <c r="R23" s="9">
        <v>3478.5815295815296</v>
      </c>
      <c r="S23" s="9">
        <v>1268.988455988456</v>
      </c>
      <c r="T23" s="9">
        <v>1182.2886002886003</v>
      </c>
      <c r="U23" s="9">
        <v>478.94660894660893</v>
      </c>
      <c r="V23" s="9">
        <v>373.0981240981241</v>
      </c>
      <c r="W23" s="9">
        <v>140.7994227994228</v>
      </c>
      <c r="X23" s="9">
        <v>34.46031746031746</v>
      </c>
      <c r="Y23" s="9">
        <v>2167.935064935065</v>
      </c>
      <c r="Z23" s="9">
        <v>864.023088023088</v>
      </c>
      <c r="AA23" s="9">
        <v>140</v>
      </c>
      <c r="AB23" s="9">
        <v>204.76623376623377</v>
      </c>
      <c r="AC23" s="9">
        <v>66.39682539682539</v>
      </c>
      <c r="AD23" s="9">
        <v>3337.079365079365</v>
      </c>
      <c r="AE23" s="9">
        <v>1145.974025974026</v>
      </c>
      <c r="AF23" s="9">
        <v>1594.911976911977</v>
      </c>
      <c r="AG23" s="9">
        <v>570.5959595959596</v>
      </c>
      <c r="AH23" s="9">
        <v>167.09956709956708</v>
      </c>
      <c r="AI23" s="9">
        <v>4044.7113997113997</v>
      </c>
      <c r="AJ23" s="9">
        <v>2195.2279942279943</v>
      </c>
      <c r="AK23" s="9">
        <v>976.988455988456</v>
      </c>
      <c r="AL23" s="9">
        <v>279.77344877344876</v>
      </c>
      <c r="AM23" s="9">
        <v>94.85569985569985</v>
      </c>
      <c r="AN23" s="9">
        <v>674.2886002886003</v>
      </c>
      <c r="AO23" s="9">
        <v>839.5800865800866</v>
      </c>
      <c r="AP23" s="9">
        <v>6077.688311688312</v>
      </c>
      <c r="AQ23" s="9">
        <v>6880.588744588745</v>
      </c>
      <c r="AR23" s="9">
        <v>414.6507936507936</v>
      </c>
      <c r="AS23" s="9">
        <v>61.09090909090909</v>
      </c>
      <c r="AT23" s="9">
        <v>66.47186147186147</v>
      </c>
      <c r="AU23" s="9">
        <v>168.75468975468976</v>
      </c>
      <c r="AV23" s="9">
        <v>7591.556998556998</v>
      </c>
      <c r="AW23" s="9">
        <v>6845.157287157287</v>
      </c>
      <c r="AX23" s="9">
        <v>518.2958152958153</v>
      </c>
      <c r="AY23" s="9">
        <v>20</v>
      </c>
      <c r="AZ23" s="9">
        <v>65.15584415584416</v>
      </c>
      <c r="BA23" s="9">
        <v>49.855699855699854</v>
      </c>
      <c r="BB23" s="9">
        <v>51.38095238095238</v>
      </c>
      <c r="BC23" s="9">
        <v>7591.556998556998</v>
      </c>
      <c r="BD23" s="9">
        <v>5584.784992784993</v>
      </c>
      <c r="BE23" s="9">
        <v>416.6738816738817</v>
      </c>
      <c r="BF23" s="9">
        <v>1081.4935064935066</v>
      </c>
      <c r="BG23" s="9">
        <v>97.39393939393939</v>
      </c>
      <c r="BH23" s="9">
        <v>183.7099567099567</v>
      </c>
      <c r="BI23" s="9">
        <v>105.18903318903318</v>
      </c>
      <c r="BJ23" s="9">
        <v>115.31168831168831</v>
      </c>
      <c r="BK23" s="9">
        <v>7</v>
      </c>
      <c r="BL23" s="9">
        <v>7591.556998556998</v>
      </c>
      <c r="BM23" s="9">
        <v>3226.183261183261</v>
      </c>
      <c r="BN23" s="9">
        <v>249.02597402597402</v>
      </c>
      <c r="BO23" s="9">
        <v>387.13131313131316</v>
      </c>
      <c r="BP23" s="9">
        <v>18</v>
      </c>
      <c r="BQ23" s="9">
        <v>3139.9826839826837</v>
      </c>
      <c r="BR23" s="9">
        <v>522.2337662337662</v>
      </c>
      <c r="BS23" s="9">
        <v>7591.556998556998</v>
      </c>
      <c r="BT23" s="9">
        <v>6725.747474747475</v>
      </c>
      <c r="BU23" s="9">
        <v>587.4386724386725</v>
      </c>
      <c r="BV23" s="9">
        <v>27.64935064935065</v>
      </c>
      <c r="BW23" s="9">
        <v>22</v>
      </c>
      <c r="BX23" s="9">
        <v>10</v>
      </c>
      <c r="BY23" s="9">
        <v>117.011544011544</v>
      </c>
      <c r="BZ23" s="9">
        <v>226.72150072150072</v>
      </c>
      <c r="CA23" s="9">
        <v>24.855699855699854</v>
      </c>
      <c r="CB23" s="9">
        <v>44.23376623376623</v>
      </c>
      <c r="CC23" s="9">
        <v>46.15584415584416</v>
      </c>
      <c r="CD23" s="9">
        <v>111.47619047619048</v>
      </c>
      <c r="CE23" s="9">
        <v>7327.662337662337</v>
      </c>
      <c r="CF23" s="9">
        <v>7234.124098124098</v>
      </c>
      <c r="CG23" s="9">
        <v>77.53823953823954</v>
      </c>
      <c r="CH23" s="9">
        <v>16</v>
      </c>
      <c r="CI23" s="9">
        <v>61.87157287157287</v>
      </c>
      <c r="CJ23" s="9">
        <v>7219.55266955267</v>
      </c>
      <c r="CK23" s="9">
        <v>2475.269841269841</v>
      </c>
      <c r="CL23" s="9">
        <v>228.64502164502164</v>
      </c>
      <c r="CM23" s="9">
        <v>5585.220779220779</v>
      </c>
      <c r="CN23" s="9">
        <v>954.1038961038961</v>
      </c>
      <c r="CO23" s="9">
        <v>2090.308802308802</v>
      </c>
      <c r="CP23" s="9">
        <v>397.7950937950938</v>
      </c>
      <c r="CQ23" s="9">
        <v>323.33189033189035</v>
      </c>
      <c r="CR23" s="9">
        <v>74.18903318903318</v>
      </c>
      <c r="CS23" s="9">
        <v>20.855699855699854</v>
      </c>
      <c r="CT23" s="9">
        <v>5585.220779220779</v>
      </c>
      <c r="CU23" s="9">
        <v>1724.6363636363635</v>
      </c>
      <c r="CV23" s="9">
        <v>866.8181818181818</v>
      </c>
      <c r="CW23" s="9">
        <v>170.86868686868686</v>
      </c>
      <c r="CX23" s="9">
        <v>255.24531024531024</v>
      </c>
      <c r="CY23" s="9">
        <v>285.2323232323232</v>
      </c>
      <c r="CZ23" s="9">
        <v>146.47186147186147</v>
      </c>
      <c r="DA23" s="9">
        <v>323.33189033189035</v>
      </c>
      <c r="DB23" s="9">
        <v>102.55555555555556</v>
      </c>
      <c r="DC23" s="9">
        <v>76.23809523809524</v>
      </c>
      <c r="DD23" s="9">
        <v>51</v>
      </c>
      <c r="DE23" s="9">
        <v>3516.396825396825</v>
      </c>
      <c r="DF23" s="9">
        <v>292.6695526695527</v>
      </c>
      <c r="DG23" s="9">
        <v>812.5180375180375</v>
      </c>
      <c r="DH23" s="9">
        <v>724.5685425685426</v>
      </c>
      <c r="DI23" s="9">
        <v>1188.7359307359307</v>
      </c>
      <c r="DJ23" s="9">
        <v>497.9047619047619</v>
      </c>
      <c r="DK23" s="9">
        <v>3516.396825396825</v>
      </c>
      <c r="DL23" s="9">
        <v>96.02886002886004</v>
      </c>
      <c r="DM23" s="9">
        <v>77.16738816738817</v>
      </c>
      <c r="DN23" s="9">
        <v>213.41991341991343</v>
      </c>
      <c r="DO23" s="9">
        <v>41.15584415584416</v>
      </c>
      <c r="DP23" s="9">
        <v>135.42568542568543</v>
      </c>
      <c r="DQ23" s="9">
        <v>369.021645021645</v>
      </c>
      <c r="DR23" s="9">
        <v>620.3088023088023</v>
      </c>
      <c r="DS23" s="9">
        <v>171.56709956709958</v>
      </c>
      <c r="DT23" s="9">
        <v>203.8051948051948</v>
      </c>
      <c r="DU23" s="9">
        <v>66.85569985569985</v>
      </c>
      <c r="DV23" s="9">
        <v>38.54978354978355</v>
      </c>
      <c r="DW23" s="9">
        <v>18.238095238095237</v>
      </c>
      <c r="DX23" s="9">
        <v>160.62770562770564</v>
      </c>
      <c r="DY23" s="9">
        <v>138.57142857142856</v>
      </c>
      <c r="DZ23" s="9">
        <v>237.30735930735932</v>
      </c>
      <c r="EA23" s="9">
        <v>234.15295815295815</v>
      </c>
      <c r="EB23" s="9">
        <v>587.8542568542568</v>
      </c>
      <c r="EC23" s="9">
        <v>106.33910533910534</v>
      </c>
      <c r="ED23" s="9">
        <v>3516.396825396825</v>
      </c>
      <c r="EE23" s="9">
        <v>234.24819624819625</v>
      </c>
      <c r="EF23" s="9">
        <v>427.2857142857143</v>
      </c>
      <c r="EG23" s="9">
        <v>326.7287157287157</v>
      </c>
      <c r="EH23" s="9">
        <v>349.6825396825397</v>
      </c>
      <c r="EI23" s="9">
        <v>620.0952380952381</v>
      </c>
      <c r="EJ23" s="9">
        <v>376.80808080808083</v>
      </c>
      <c r="EK23" s="9">
        <v>364.2049062049062</v>
      </c>
      <c r="EL23" s="9">
        <v>327.9062049062049</v>
      </c>
      <c r="EM23" s="9">
        <v>489.43722943722946</v>
      </c>
      <c r="EN23" s="9">
        <v>6200.411255411255</v>
      </c>
      <c r="EO23" s="9">
        <v>2191.3881673881674</v>
      </c>
      <c r="EP23" s="9">
        <v>1656.4184704184704</v>
      </c>
      <c r="EQ23" s="9">
        <v>833.5800865800866</v>
      </c>
      <c r="ER23" s="9">
        <v>516</v>
      </c>
      <c r="ES23" s="9">
        <v>1003.024531024531</v>
      </c>
      <c r="ET23" s="10">
        <v>3744.910533910534</v>
      </c>
      <c r="EU23" s="9">
        <v>3478.5815295815296</v>
      </c>
      <c r="EV23" s="9">
        <v>266.3290043290043</v>
      </c>
      <c r="EW23" s="9">
        <v>57.457431457431454</v>
      </c>
      <c r="EX23" s="9">
        <v>208.87157287157288</v>
      </c>
      <c r="EY23" s="9">
        <v>3478.5815295815296</v>
      </c>
      <c r="EZ23" s="9">
        <v>881.5411255411256</v>
      </c>
      <c r="FA23" s="9">
        <v>981.8686868686868</v>
      </c>
      <c r="FB23" s="9">
        <v>973.3939393939394</v>
      </c>
      <c r="FC23" s="9">
        <v>637.7777777777778</v>
      </c>
      <c r="FD23" s="9">
        <v>4</v>
      </c>
      <c r="FE23" s="9">
        <v>497.8888888888889</v>
      </c>
      <c r="FF23" s="9">
        <v>771.0995670995671</v>
      </c>
      <c r="FG23" s="9">
        <v>234.27994227994228</v>
      </c>
      <c r="FH23" s="9">
        <v>457.66522366522366</v>
      </c>
      <c r="FI23" s="9">
        <v>434.3261183261183</v>
      </c>
      <c r="FJ23" s="9">
        <v>187.34199134199133</v>
      </c>
      <c r="FK23" s="9">
        <v>166.63203463203462</v>
      </c>
      <c r="FL23" s="9">
        <v>171.57720057720059</v>
      </c>
      <c r="FM23" s="9">
        <v>25.093795093795094</v>
      </c>
      <c r="FN23" s="9">
        <v>257.4098124098124</v>
      </c>
      <c r="FO23" s="9">
        <v>146.47474747474746</v>
      </c>
      <c r="FP23" s="9">
        <v>44.093795093795094</v>
      </c>
      <c r="FQ23" s="9">
        <v>8</v>
      </c>
      <c r="FR23" s="9">
        <v>11.777777777777779</v>
      </c>
      <c r="FS23" s="9">
        <v>64.92063492063492</v>
      </c>
      <c r="FT23" s="9">
        <v>3478.5815295815296</v>
      </c>
      <c r="FU23" s="9">
        <v>156.0779220779221</v>
      </c>
      <c r="FV23" s="9">
        <v>907.4069264069265</v>
      </c>
      <c r="FW23" s="9">
        <v>368.984126984127</v>
      </c>
      <c r="FX23" s="9">
        <v>184.96103896103895</v>
      </c>
      <c r="FY23" s="9">
        <v>255.40981240981242</v>
      </c>
      <c r="FZ23" s="9">
        <v>98.33189033189034</v>
      </c>
      <c r="GA23" s="9">
        <v>44</v>
      </c>
      <c r="GB23" s="9">
        <v>113.07792207792208</v>
      </c>
      <c r="GC23" s="9">
        <v>208.23520923520925</v>
      </c>
      <c r="GD23" s="9">
        <v>289.65367965367966</v>
      </c>
      <c r="GE23" s="9">
        <v>259.53679653679654</v>
      </c>
      <c r="GF23" s="9">
        <v>920.5021645021645</v>
      </c>
      <c r="GG23" s="9">
        <v>616.1096681096681</v>
      </c>
      <c r="GH23" s="9">
        <v>0</v>
      </c>
      <c r="GI23" s="9">
        <v>221.93362193362194</v>
      </c>
      <c r="GJ23" s="9">
        <v>21</v>
      </c>
      <c r="GK23" s="9">
        <v>25.538239538239537</v>
      </c>
      <c r="GL23" s="9">
        <v>35.920634920634924</v>
      </c>
      <c r="GM23" s="9">
        <v>4678.666666666666</v>
      </c>
      <c r="GN23" s="9">
        <v>572.1284271284271</v>
      </c>
      <c r="GO23" s="9">
        <v>0</v>
      </c>
      <c r="GP23" s="9">
        <v>41.07792207792208</v>
      </c>
      <c r="GQ23" s="9">
        <v>442.5151515151515</v>
      </c>
      <c r="GR23" s="9">
        <v>26.38961038961039</v>
      </c>
      <c r="GS23" s="9">
        <v>1683.1991341991343</v>
      </c>
      <c r="GT23" s="9">
        <v>481.7893217893218</v>
      </c>
      <c r="GU23" s="9">
        <v>6</v>
      </c>
      <c r="GV23" s="9">
        <v>42</v>
      </c>
      <c r="GW23" s="9">
        <v>1259.4458874458874</v>
      </c>
      <c r="GX23" s="9">
        <v>124.12121212121212</v>
      </c>
    </row>
    <row r="24" spans="1:206" ht="12.75">
      <c r="A24" s="5" t="s">
        <v>1</v>
      </c>
      <c r="B24" s="9">
        <v>25659</v>
      </c>
      <c r="C24" s="9">
        <v>232132.00000000003</v>
      </c>
      <c r="D24" s="9">
        <v>12705</v>
      </c>
      <c r="E24" s="9">
        <v>28693</v>
      </c>
      <c r="F24" s="9">
        <v>34805</v>
      </c>
      <c r="G24" s="9">
        <v>43325</v>
      </c>
      <c r="H24" s="9">
        <v>52600</v>
      </c>
      <c r="I24" s="9">
        <v>40827.00000000001</v>
      </c>
      <c r="J24" s="9">
        <v>19176.999999999993</v>
      </c>
      <c r="K24" s="9">
        <v>41398.00000000001</v>
      </c>
      <c r="L24" s="9">
        <v>147694</v>
      </c>
      <c r="M24" s="9">
        <v>43040</v>
      </c>
      <c r="N24" s="9">
        <v>113471</v>
      </c>
      <c r="O24" s="9">
        <v>118660.99999999997</v>
      </c>
      <c r="P24" s="9">
        <v>228363.99999999994</v>
      </c>
      <c r="Q24" s="9">
        <v>3768</v>
      </c>
      <c r="R24" s="9">
        <v>102091</v>
      </c>
      <c r="S24" s="9">
        <v>32378</v>
      </c>
      <c r="T24" s="9">
        <v>37460.00000000001</v>
      </c>
      <c r="U24" s="9">
        <v>15135.000000000004</v>
      </c>
      <c r="V24" s="9">
        <v>11740</v>
      </c>
      <c r="W24" s="9">
        <v>4061.9999999999995</v>
      </c>
      <c r="X24" s="9">
        <v>1316</v>
      </c>
      <c r="Y24" s="9">
        <v>68600.00000000001</v>
      </c>
      <c r="Z24" s="9">
        <v>13453</v>
      </c>
      <c r="AA24" s="9">
        <v>5865</v>
      </c>
      <c r="AB24" s="9">
        <v>10078.999999999998</v>
      </c>
      <c r="AC24" s="9">
        <v>2380</v>
      </c>
      <c r="AD24" s="9">
        <v>125509</v>
      </c>
      <c r="AE24" s="9">
        <v>21064.999999999996</v>
      </c>
      <c r="AF24" s="9">
        <v>47274</v>
      </c>
      <c r="AG24" s="9">
        <v>26088.999999999996</v>
      </c>
      <c r="AH24" s="9">
        <v>7663.000000000002</v>
      </c>
      <c r="AI24" s="9">
        <v>125630</v>
      </c>
      <c r="AJ24" s="9">
        <v>69406</v>
      </c>
      <c r="AK24" s="9">
        <v>26942</v>
      </c>
      <c r="AL24" s="9">
        <v>7805</v>
      </c>
      <c r="AM24" s="9">
        <v>2349</v>
      </c>
      <c r="AN24" s="9">
        <v>18767</v>
      </c>
      <c r="AO24" s="9">
        <v>24320</v>
      </c>
      <c r="AP24" s="9">
        <v>189045</v>
      </c>
      <c r="AQ24" s="9">
        <v>211139.00000000003</v>
      </c>
      <c r="AR24" s="9">
        <v>12281.999999999998</v>
      </c>
      <c r="AS24" s="9">
        <v>1801.0000000000002</v>
      </c>
      <c r="AT24" s="9">
        <v>1607</v>
      </c>
      <c r="AU24" s="9">
        <v>5303</v>
      </c>
      <c r="AV24" s="9">
        <v>232132.00000000003</v>
      </c>
      <c r="AW24" s="9">
        <v>185430</v>
      </c>
      <c r="AX24" s="9">
        <v>34135</v>
      </c>
      <c r="AY24" s="9">
        <v>1389</v>
      </c>
      <c r="AZ24" s="9">
        <v>3424.999999999999</v>
      </c>
      <c r="BA24" s="9">
        <v>4311</v>
      </c>
      <c r="BB24" s="9">
        <v>1865.9999999999998</v>
      </c>
      <c r="BC24" s="9">
        <v>232132.00000000003</v>
      </c>
      <c r="BD24" s="9">
        <v>142789</v>
      </c>
      <c r="BE24" s="9">
        <v>23584.000000000007</v>
      </c>
      <c r="BF24" s="9">
        <v>35193.99999999999</v>
      </c>
      <c r="BG24" s="9">
        <v>5372</v>
      </c>
      <c r="BH24" s="9">
        <v>10279.999999999998</v>
      </c>
      <c r="BI24" s="9">
        <v>6735.000000000001</v>
      </c>
      <c r="BJ24" s="9">
        <v>7592.999999999999</v>
      </c>
      <c r="BK24" s="9">
        <v>585</v>
      </c>
      <c r="BL24" s="9">
        <v>232132.00000000003</v>
      </c>
      <c r="BM24" s="9">
        <v>85550</v>
      </c>
      <c r="BN24" s="9">
        <v>17677</v>
      </c>
      <c r="BO24" s="9">
        <v>21235</v>
      </c>
      <c r="BP24" s="9">
        <v>691.0000000000001</v>
      </c>
      <c r="BQ24" s="9">
        <v>86640.99999999997</v>
      </c>
      <c r="BR24" s="9">
        <v>18441.999999999996</v>
      </c>
      <c r="BS24" s="9">
        <v>232132.00000000003</v>
      </c>
      <c r="BT24" s="9">
        <v>179271.00000000003</v>
      </c>
      <c r="BU24" s="9">
        <v>37058</v>
      </c>
      <c r="BV24" s="9">
        <v>1267.0000000000002</v>
      </c>
      <c r="BW24" s="9">
        <v>1318</v>
      </c>
      <c r="BX24" s="9">
        <v>681</v>
      </c>
      <c r="BY24" s="9">
        <v>6904.999999999997</v>
      </c>
      <c r="BZ24" s="9">
        <v>13172</v>
      </c>
      <c r="CA24" s="9">
        <v>1740</v>
      </c>
      <c r="CB24" s="9">
        <v>3103.0000000000005</v>
      </c>
      <c r="CC24" s="9">
        <v>2686</v>
      </c>
      <c r="CD24" s="9">
        <v>5643</v>
      </c>
      <c r="CE24" s="9">
        <v>224605.99999999994</v>
      </c>
      <c r="CF24" s="9">
        <v>221967</v>
      </c>
      <c r="CG24" s="9">
        <v>2285</v>
      </c>
      <c r="CH24" s="9">
        <v>354</v>
      </c>
      <c r="CI24" s="9">
        <v>12039.000000000004</v>
      </c>
      <c r="CJ24" s="9">
        <v>208009.99999999997</v>
      </c>
      <c r="CK24" s="9">
        <v>48451</v>
      </c>
      <c r="CL24" s="9">
        <v>15892.000000000002</v>
      </c>
      <c r="CM24" s="9">
        <v>171557</v>
      </c>
      <c r="CN24" s="9">
        <v>26000</v>
      </c>
      <c r="CO24" s="9">
        <v>67706</v>
      </c>
      <c r="CP24" s="9">
        <v>18925</v>
      </c>
      <c r="CQ24" s="9">
        <v>6817.000000000001</v>
      </c>
      <c r="CR24" s="9">
        <v>2639.0000000000005</v>
      </c>
      <c r="CS24" s="9">
        <v>558</v>
      </c>
      <c r="CT24" s="9">
        <v>171557</v>
      </c>
      <c r="CU24" s="9">
        <v>48911.99999999999</v>
      </c>
      <c r="CV24" s="9">
        <v>27496</v>
      </c>
      <c r="CW24" s="9">
        <v>5468</v>
      </c>
      <c r="CX24" s="9">
        <v>6437.999999999999</v>
      </c>
      <c r="CY24" s="9">
        <v>6610</v>
      </c>
      <c r="CZ24" s="9">
        <v>2899.9999999999995</v>
      </c>
      <c r="DA24" s="9">
        <v>6817.000000000001</v>
      </c>
      <c r="DB24" s="9">
        <v>1945</v>
      </c>
      <c r="DC24" s="9">
        <v>1560</v>
      </c>
      <c r="DD24" s="9">
        <v>631</v>
      </c>
      <c r="DE24" s="9">
        <v>115269.99999999999</v>
      </c>
      <c r="DF24" s="9">
        <v>8329</v>
      </c>
      <c r="DG24" s="9">
        <v>24660</v>
      </c>
      <c r="DH24" s="9">
        <v>20473.000000000004</v>
      </c>
      <c r="DI24" s="9">
        <v>43649</v>
      </c>
      <c r="DJ24" s="9">
        <v>18159</v>
      </c>
      <c r="DK24" s="9">
        <v>115269.99999999999</v>
      </c>
      <c r="DL24" s="9">
        <v>4978</v>
      </c>
      <c r="DM24" s="9">
        <v>1414</v>
      </c>
      <c r="DN24" s="9">
        <v>6603.000000000001</v>
      </c>
      <c r="DO24" s="9">
        <v>893</v>
      </c>
      <c r="DP24" s="9">
        <v>1515.0000000000002</v>
      </c>
      <c r="DQ24" s="9">
        <v>11278</v>
      </c>
      <c r="DR24" s="9">
        <v>17218.999999999996</v>
      </c>
      <c r="DS24" s="9">
        <v>5794</v>
      </c>
      <c r="DT24" s="9">
        <v>10533</v>
      </c>
      <c r="DU24" s="9">
        <v>2750.999999999999</v>
      </c>
      <c r="DV24" s="9">
        <v>1447</v>
      </c>
      <c r="DW24" s="9">
        <v>1536.9999999999998</v>
      </c>
      <c r="DX24" s="9">
        <v>5150.000000000001</v>
      </c>
      <c r="DY24" s="9">
        <v>4556.000000000001</v>
      </c>
      <c r="DZ24" s="9">
        <v>7655.000000000001</v>
      </c>
      <c r="EA24" s="9">
        <v>8735.999999999998</v>
      </c>
      <c r="EB24" s="9">
        <v>17520.999999999993</v>
      </c>
      <c r="EC24" s="9">
        <v>5690</v>
      </c>
      <c r="ED24" s="9">
        <v>115269.99999999999</v>
      </c>
      <c r="EE24" s="9">
        <v>11221.000000000002</v>
      </c>
      <c r="EF24" s="9">
        <v>16870.000000000004</v>
      </c>
      <c r="EG24" s="9">
        <v>12681</v>
      </c>
      <c r="EH24" s="9">
        <v>11176.999999999998</v>
      </c>
      <c r="EI24" s="9">
        <v>19505.000000000004</v>
      </c>
      <c r="EJ24" s="9">
        <v>11854</v>
      </c>
      <c r="EK24" s="9">
        <v>9402</v>
      </c>
      <c r="EL24" s="9">
        <v>9408</v>
      </c>
      <c r="EM24" s="9">
        <v>13152</v>
      </c>
      <c r="EN24" s="9">
        <v>190734</v>
      </c>
      <c r="EO24" s="9">
        <v>48624</v>
      </c>
      <c r="EP24" s="9">
        <v>46719.00000000001</v>
      </c>
      <c r="EQ24" s="9">
        <v>27454</v>
      </c>
      <c r="ER24" s="9">
        <v>17638.999999999996</v>
      </c>
      <c r="ES24" s="9">
        <v>50298</v>
      </c>
      <c r="ET24" s="9">
        <v>111439.99999999997</v>
      </c>
      <c r="EU24" s="9">
        <v>102091</v>
      </c>
      <c r="EV24" s="9">
        <v>9348.999999999998</v>
      </c>
      <c r="EW24" s="9">
        <v>6355.999999999999</v>
      </c>
      <c r="EX24" s="9">
        <v>2993.0000000000005</v>
      </c>
      <c r="EY24" s="9">
        <v>102018</v>
      </c>
      <c r="EZ24" s="9">
        <v>43126.00000000001</v>
      </c>
      <c r="FA24" s="9">
        <v>29138.999999999993</v>
      </c>
      <c r="FB24" s="9">
        <v>15905</v>
      </c>
      <c r="FC24" s="9">
        <v>13443.999999999998</v>
      </c>
      <c r="FD24" s="9">
        <v>403.99999999999994</v>
      </c>
      <c r="FE24" s="9">
        <v>13752.000000000002</v>
      </c>
      <c r="FF24" s="9">
        <v>18626</v>
      </c>
      <c r="FG24" s="9">
        <v>8751</v>
      </c>
      <c r="FH24" s="9">
        <v>15552.000000000002</v>
      </c>
      <c r="FI24" s="9">
        <v>14489.999999999996</v>
      </c>
      <c r="FJ24" s="9">
        <v>5763.999999999999</v>
      </c>
      <c r="FK24" s="9">
        <v>5221</v>
      </c>
      <c r="FL24" s="9">
        <v>4381</v>
      </c>
      <c r="FM24" s="9">
        <v>555</v>
      </c>
      <c r="FN24" s="9">
        <v>6280</v>
      </c>
      <c r="FO24" s="9">
        <v>3570.9999999999995</v>
      </c>
      <c r="FP24" s="9">
        <v>1581</v>
      </c>
      <c r="FQ24" s="9">
        <v>64</v>
      </c>
      <c r="FR24" s="9">
        <v>358</v>
      </c>
      <c r="FS24" s="9">
        <v>3145</v>
      </c>
      <c r="FT24" s="9">
        <v>102091</v>
      </c>
      <c r="FU24" s="9">
        <v>3035.9999999999995</v>
      </c>
      <c r="FV24" s="9">
        <v>26732</v>
      </c>
      <c r="FW24" s="9">
        <v>10109.000000000002</v>
      </c>
      <c r="FX24" s="9">
        <v>5758.999999999999</v>
      </c>
      <c r="FY24" s="9">
        <v>6261</v>
      </c>
      <c r="FZ24" s="9">
        <v>2483.0000000000005</v>
      </c>
      <c r="GA24" s="9">
        <v>1564</v>
      </c>
      <c r="GB24" s="9">
        <v>2214.0000000000005</v>
      </c>
      <c r="GC24" s="9">
        <v>5911</v>
      </c>
      <c r="GD24" s="9">
        <v>7840.999999999998</v>
      </c>
      <c r="GE24" s="9">
        <v>9880</v>
      </c>
      <c r="GF24" s="9">
        <v>28664</v>
      </c>
      <c r="GG24" s="9">
        <v>21446.999999999996</v>
      </c>
      <c r="GH24" s="9">
        <v>97.00000000000001</v>
      </c>
      <c r="GI24" s="9">
        <v>3735</v>
      </c>
      <c r="GJ24" s="9">
        <v>1252</v>
      </c>
      <c r="GK24" s="9">
        <v>1276.0000000000002</v>
      </c>
      <c r="GL24" s="9">
        <v>857</v>
      </c>
      <c r="GM24" s="9">
        <v>150421</v>
      </c>
      <c r="GN24" s="9">
        <v>22414.999999999996</v>
      </c>
      <c r="GO24" s="9">
        <v>54</v>
      </c>
      <c r="GP24" s="9">
        <v>1803.0000000000002</v>
      </c>
      <c r="GQ24" s="9">
        <v>14321.000000000002</v>
      </c>
      <c r="GR24" s="9">
        <v>675.0000000000001</v>
      </c>
      <c r="GS24" s="9">
        <v>64031.000000000015</v>
      </c>
      <c r="GT24" s="9">
        <v>14402</v>
      </c>
      <c r="GU24" s="9">
        <v>322</v>
      </c>
      <c r="GV24" s="9">
        <v>3680.9999999999995</v>
      </c>
      <c r="GW24" s="9">
        <v>26679.000000000004</v>
      </c>
      <c r="GX24" s="9">
        <v>2037.9999999999995</v>
      </c>
    </row>
    <row r="25" spans="1:206" ht="12.75">
      <c r="A25" s="5" t="s">
        <v>2</v>
      </c>
      <c r="B25" s="10">
        <v>77925</v>
      </c>
      <c r="C25" s="5">
        <v>5295403</v>
      </c>
      <c r="D25" s="5">
        <v>292821</v>
      </c>
      <c r="E25" s="5">
        <v>623510</v>
      </c>
      <c r="F25" s="5">
        <v>978120</v>
      </c>
      <c r="G25" s="5">
        <v>1056449</v>
      </c>
      <c r="H25" s="5">
        <v>1117647</v>
      </c>
      <c r="I25" s="5">
        <v>818314</v>
      </c>
      <c r="J25" s="5">
        <v>408542</v>
      </c>
      <c r="K25" s="5">
        <v>916331</v>
      </c>
      <c r="L25" s="5">
        <v>3488738</v>
      </c>
      <c r="M25" s="5">
        <v>890334</v>
      </c>
      <c r="N25" s="5">
        <v>2567444</v>
      </c>
      <c r="O25" s="5">
        <v>2727959</v>
      </c>
      <c r="P25" s="5">
        <v>5196386</v>
      </c>
      <c r="Q25" s="5">
        <v>99017</v>
      </c>
      <c r="R25" s="5">
        <v>2372777</v>
      </c>
      <c r="S25" s="5">
        <v>823314</v>
      </c>
      <c r="T25" s="5">
        <v>807658</v>
      </c>
      <c r="U25" s="5">
        <v>357491</v>
      </c>
      <c r="V25" s="5">
        <v>272329</v>
      </c>
      <c r="W25" s="5">
        <v>86722</v>
      </c>
      <c r="X25" s="5">
        <v>25263</v>
      </c>
      <c r="Y25" s="5">
        <v>1470986</v>
      </c>
      <c r="Z25" s="5">
        <v>312745</v>
      </c>
      <c r="AA25" s="5">
        <v>263674</v>
      </c>
      <c r="AB25" s="5">
        <v>263459</v>
      </c>
      <c r="AC25" s="5">
        <v>30480</v>
      </c>
      <c r="AD25" s="5">
        <v>2475376</v>
      </c>
      <c r="AE25" s="5">
        <v>724144</v>
      </c>
      <c r="AF25" s="5">
        <v>1002344</v>
      </c>
      <c r="AG25" s="5">
        <v>512836</v>
      </c>
      <c r="AH25" s="5">
        <v>133453</v>
      </c>
      <c r="AI25" s="5">
        <v>2778481</v>
      </c>
      <c r="AJ25" s="5">
        <v>1575000</v>
      </c>
      <c r="AK25" s="5">
        <v>644881</v>
      </c>
      <c r="AL25" s="5">
        <v>226154</v>
      </c>
      <c r="AM25" s="5">
        <v>70887</v>
      </c>
      <c r="AN25" s="5">
        <v>505863</v>
      </c>
      <c r="AO25" s="5">
        <v>534508</v>
      </c>
      <c r="AP25" s="5">
        <v>4255032</v>
      </c>
      <c r="AQ25" s="5">
        <v>4803172</v>
      </c>
      <c r="AR25" s="5">
        <v>273333</v>
      </c>
      <c r="AS25" s="5">
        <v>46315</v>
      </c>
      <c r="AT25" s="5">
        <v>40501</v>
      </c>
      <c r="AU25" s="5">
        <v>132082</v>
      </c>
      <c r="AV25" s="5">
        <v>5295403</v>
      </c>
      <c r="AW25" s="5">
        <v>4445678</v>
      </c>
      <c r="AX25" s="5">
        <v>417109</v>
      </c>
      <c r="AY25" s="5">
        <v>54090</v>
      </c>
      <c r="AZ25" s="5">
        <v>61201</v>
      </c>
      <c r="BA25" s="5">
        <v>102117</v>
      </c>
      <c r="BB25" s="5">
        <v>140678</v>
      </c>
      <c r="BC25" s="5">
        <v>5295403</v>
      </c>
      <c r="BD25" s="5">
        <v>3306138</v>
      </c>
      <c r="BE25" s="5">
        <v>443275</v>
      </c>
      <c r="BF25" s="5">
        <v>968759</v>
      </c>
      <c r="BG25" s="5">
        <v>102028</v>
      </c>
      <c r="BH25" s="5">
        <v>120990</v>
      </c>
      <c r="BI25" s="5">
        <v>104434</v>
      </c>
      <c r="BJ25" s="5">
        <v>234062</v>
      </c>
      <c r="BK25" s="5">
        <v>15717</v>
      </c>
      <c r="BL25" s="5">
        <v>5295403</v>
      </c>
      <c r="BM25" s="5">
        <v>1717871</v>
      </c>
      <c r="BN25" s="5">
        <v>841053</v>
      </c>
      <c r="BO25" s="5">
        <v>291275</v>
      </c>
      <c r="BP25" s="5">
        <v>76737</v>
      </c>
      <c r="BQ25" s="5">
        <v>1941116</v>
      </c>
      <c r="BR25" s="5">
        <v>368039</v>
      </c>
      <c r="BS25" s="5">
        <v>5295403</v>
      </c>
      <c r="BT25" s="5">
        <v>4411884</v>
      </c>
      <c r="BU25" s="5">
        <v>459486</v>
      </c>
      <c r="BV25" s="5">
        <v>17381</v>
      </c>
      <c r="BW25" s="5">
        <v>36655</v>
      </c>
      <c r="BX25" s="5">
        <v>22952</v>
      </c>
      <c r="BY25" s="5">
        <v>137285</v>
      </c>
      <c r="BZ25" s="5">
        <v>369284</v>
      </c>
      <c r="CA25" s="5">
        <v>81615</v>
      </c>
      <c r="CB25" s="5">
        <v>80234</v>
      </c>
      <c r="CC25" s="5">
        <v>69340</v>
      </c>
      <c r="CD25" s="5">
        <v>138095</v>
      </c>
      <c r="CE25" s="5">
        <v>5118223</v>
      </c>
      <c r="CF25" s="5">
        <v>5044683</v>
      </c>
      <c r="CG25" s="5">
        <v>62128</v>
      </c>
      <c r="CH25" s="5">
        <v>11412</v>
      </c>
      <c r="CI25" s="5">
        <v>57375</v>
      </c>
      <c r="CJ25" s="5">
        <v>5031167</v>
      </c>
      <c r="CK25" s="5">
        <v>1537626</v>
      </c>
      <c r="CL25" s="5">
        <v>377676</v>
      </c>
      <c r="CM25" s="5">
        <v>3970530</v>
      </c>
      <c r="CN25" s="5">
        <v>529816</v>
      </c>
      <c r="CO25" s="5">
        <v>1573416</v>
      </c>
      <c r="CP25" s="5">
        <v>297693</v>
      </c>
      <c r="CQ25" s="5">
        <v>189414</v>
      </c>
      <c r="CR25" s="5">
        <v>115970</v>
      </c>
      <c r="CS25" s="5">
        <v>32590</v>
      </c>
      <c r="CT25" s="5">
        <v>3970530</v>
      </c>
      <c r="CU25" s="5">
        <v>1231631</v>
      </c>
      <c r="CV25" s="5">
        <v>591667</v>
      </c>
      <c r="CW25" s="5">
        <v>218412</v>
      </c>
      <c r="CX25" s="5">
        <v>141542</v>
      </c>
      <c r="CY25" s="5">
        <v>203975</v>
      </c>
      <c r="CZ25" s="5">
        <v>76035</v>
      </c>
      <c r="DA25" s="5">
        <v>189414</v>
      </c>
      <c r="DB25" s="5">
        <v>57222</v>
      </c>
      <c r="DC25" s="5">
        <v>34880</v>
      </c>
      <c r="DD25" s="5">
        <v>26416</v>
      </c>
      <c r="DE25" s="5">
        <v>2516895</v>
      </c>
      <c r="DF25" s="9">
        <v>175875</v>
      </c>
      <c r="DG25" s="5">
        <v>529742</v>
      </c>
      <c r="DH25" s="5">
        <v>532889</v>
      </c>
      <c r="DI25" s="5">
        <v>983584</v>
      </c>
      <c r="DJ25" s="9">
        <v>294805</v>
      </c>
      <c r="DK25" s="5">
        <v>2516895</v>
      </c>
      <c r="DL25" s="5">
        <v>50262</v>
      </c>
      <c r="DM25" s="5">
        <v>33980</v>
      </c>
      <c r="DN25" s="5">
        <v>194036</v>
      </c>
      <c r="DO25" s="5">
        <v>20185</v>
      </c>
      <c r="DP25" s="5">
        <v>19206</v>
      </c>
      <c r="DQ25" s="5">
        <v>200343</v>
      </c>
      <c r="DR25" s="5">
        <v>376622</v>
      </c>
      <c r="DS25" s="5">
        <v>125111</v>
      </c>
      <c r="DT25" s="5">
        <v>158175</v>
      </c>
      <c r="DU25" s="5">
        <v>69014</v>
      </c>
      <c r="DV25" s="5">
        <v>113505</v>
      </c>
      <c r="DW25" s="5">
        <v>29522</v>
      </c>
      <c r="DX25" s="5">
        <v>131315</v>
      </c>
      <c r="DY25" s="5">
        <v>109264</v>
      </c>
      <c r="DZ25" s="5">
        <v>175326</v>
      </c>
      <c r="EA25" s="5">
        <v>211954</v>
      </c>
      <c r="EB25" s="5">
        <v>376813</v>
      </c>
      <c r="EC25" s="5">
        <v>122262</v>
      </c>
      <c r="ED25" s="5">
        <v>2516895</v>
      </c>
      <c r="EE25" s="5">
        <v>210819</v>
      </c>
      <c r="EF25" s="5">
        <v>421639</v>
      </c>
      <c r="EG25" s="5">
        <v>318380</v>
      </c>
      <c r="EH25" s="5">
        <v>286144</v>
      </c>
      <c r="EI25" s="5">
        <v>315177</v>
      </c>
      <c r="EJ25" s="5">
        <v>244508</v>
      </c>
      <c r="EK25" s="5">
        <v>234367</v>
      </c>
      <c r="EL25" s="5">
        <v>193594</v>
      </c>
      <c r="EM25" s="5">
        <v>292267</v>
      </c>
      <c r="EN25" s="5">
        <v>4379072</v>
      </c>
      <c r="EO25" s="5">
        <v>1173116</v>
      </c>
      <c r="EP25" s="5">
        <v>1010875</v>
      </c>
      <c r="EQ25" s="5">
        <v>627423</v>
      </c>
      <c r="ER25" s="5">
        <v>424996</v>
      </c>
      <c r="ES25" s="5">
        <v>1142662</v>
      </c>
      <c r="ET25" s="5">
        <v>2473881</v>
      </c>
      <c r="EU25" s="5">
        <v>2372777</v>
      </c>
      <c r="EV25" s="5">
        <v>101104</v>
      </c>
      <c r="EW25" s="5">
        <v>36642</v>
      </c>
      <c r="EX25" s="5">
        <v>64462</v>
      </c>
      <c r="EY25" s="5">
        <v>2371396</v>
      </c>
      <c r="EZ25" s="5">
        <v>520071</v>
      </c>
      <c r="FA25" s="5">
        <v>541359</v>
      </c>
      <c r="FB25" s="5">
        <v>441966</v>
      </c>
      <c r="FC25" s="5">
        <v>864225</v>
      </c>
      <c r="FD25" s="5">
        <v>3775</v>
      </c>
      <c r="FE25" s="5">
        <v>311867</v>
      </c>
      <c r="FF25" s="5">
        <v>511447</v>
      </c>
      <c r="FG25" s="5">
        <v>178972</v>
      </c>
      <c r="FH25" s="5">
        <v>297398</v>
      </c>
      <c r="FI25" s="5">
        <v>321886</v>
      </c>
      <c r="FJ25" s="5">
        <v>139171</v>
      </c>
      <c r="FK25" s="5">
        <v>117637</v>
      </c>
      <c r="FL25" s="5">
        <v>87647</v>
      </c>
      <c r="FM25" s="5">
        <v>11937</v>
      </c>
      <c r="FN25" s="5">
        <v>170002</v>
      </c>
      <c r="FO25" s="5">
        <v>93358</v>
      </c>
      <c r="FP25" s="5">
        <v>36954</v>
      </c>
      <c r="FQ25" s="5">
        <v>20928</v>
      </c>
      <c r="FR25" s="5">
        <v>5598</v>
      </c>
      <c r="FS25" s="5">
        <v>67975</v>
      </c>
      <c r="FT25" s="5">
        <v>2372777</v>
      </c>
      <c r="FU25" s="5">
        <v>93152</v>
      </c>
      <c r="FV25" s="5">
        <v>616489</v>
      </c>
      <c r="FW25" s="5">
        <v>237103</v>
      </c>
      <c r="FX25" s="5">
        <v>135831</v>
      </c>
      <c r="FY25" s="5">
        <v>169707</v>
      </c>
      <c r="FZ25" s="5">
        <v>58858</v>
      </c>
      <c r="GA25" s="5">
        <v>39684</v>
      </c>
      <c r="GB25" s="5">
        <v>71165</v>
      </c>
      <c r="GC25" s="5">
        <v>130150</v>
      </c>
      <c r="GD25" s="5">
        <v>181717</v>
      </c>
      <c r="GE25" s="5">
        <v>195982</v>
      </c>
      <c r="GF25" s="5">
        <v>607738</v>
      </c>
      <c r="GG25" s="5">
        <v>414138</v>
      </c>
      <c r="GH25" s="5">
        <v>2236</v>
      </c>
      <c r="GI25" s="5">
        <v>90404</v>
      </c>
      <c r="GJ25" s="5">
        <v>66814</v>
      </c>
      <c r="GK25" s="5">
        <v>21697</v>
      </c>
      <c r="GL25" s="5">
        <v>12449</v>
      </c>
      <c r="GM25" s="5">
        <v>3397207</v>
      </c>
      <c r="GN25" s="5">
        <v>383490</v>
      </c>
      <c r="GO25" s="5">
        <v>9830</v>
      </c>
      <c r="GP25" s="5">
        <v>118241</v>
      </c>
      <c r="GQ25" s="5">
        <v>454981</v>
      </c>
      <c r="GR25" s="5">
        <v>23678</v>
      </c>
      <c r="GS25" s="5">
        <v>1390214</v>
      </c>
      <c r="GT25" s="5">
        <v>305949</v>
      </c>
      <c r="GU25" s="5">
        <v>7544</v>
      </c>
      <c r="GV25" s="5">
        <v>44193</v>
      </c>
      <c r="GW25" s="5">
        <v>627855</v>
      </c>
      <c r="GX25" s="5">
        <v>31232</v>
      </c>
    </row>
    <row r="27" spans="1:256" ht="12.75">
      <c r="A27" s="5" t="s">
        <v>476</v>
      </c>
      <c r="B27" s="5">
        <v>2</v>
      </c>
      <c r="C27" s="5">
        <v>3</v>
      </c>
      <c r="D27" s="5">
        <v>4</v>
      </c>
      <c r="E27" s="5">
        <v>5</v>
      </c>
      <c r="F27" s="5">
        <v>6</v>
      </c>
      <c r="G27" s="5">
        <v>7</v>
      </c>
      <c r="H27" s="5">
        <v>8</v>
      </c>
      <c r="I27" s="5">
        <v>9</v>
      </c>
      <c r="J27" s="5">
        <v>10</v>
      </c>
      <c r="K27" s="5">
        <v>11</v>
      </c>
      <c r="L27" s="5">
        <v>12</v>
      </c>
      <c r="M27" s="5">
        <v>13</v>
      </c>
      <c r="N27" s="5">
        <v>14</v>
      </c>
      <c r="O27" s="5">
        <v>15</v>
      </c>
      <c r="P27" s="5">
        <v>16</v>
      </c>
      <c r="Q27" s="5">
        <v>17</v>
      </c>
      <c r="R27" s="5">
        <v>18</v>
      </c>
      <c r="S27" s="5">
        <v>19</v>
      </c>
      <c r="T27" s="5">
        <v>20</v>
      </c>
      <c r="U27" s="5">
        <v>21</v>
      </c>
      <c r="V27" s="5">
        <v>22</v>
      </c>
      <c r="W27" s="5">
        <v>23</v>
      </c>
      <c r="X27" s="5">
        <v>24</v>
      </c>
      <c r="Y27" s="5">
        <v>25</v>
      </c>
      <c r="Z27" s="5">
        <v>26</v>
      </c>
      <c r="AA27" s="5">
        <v>27</v>
      </c>
      <c r="AB27" s="5">
        <v>28</v>
      </c>
      <c r="AC27" s="5">
        <v>29</v>
      </c>
      <c r="AD27" s="5">
        <v>30</v>
      </c>
      <c r="AE27" s="5">
        <v>31</v>
      </c>
      <c r="AF27" s="5">
        <v>32</v>
      </c>
      <c r="AG27" s="5">
        <v>33</v>
      </c>
      <c r="AH27" s="5">
        <v>34</v>
      </c>
      <c r="AI27" s="5">
        <v>35</v>
      </c>
      <c r="AJ27" s="5">
        <v>36</v>
      </c>
      <c r="AK27" s="5">
        <v>37</v>
      </c>
      <c r="AL27" s="5">
        <v>38</v>
      </c>
      <c r="AM27" s="5">
        <v>39</v>
      </c>
      <c r="AN27" s="5">
        <v>40</v>
      </c>
      <c r="AO27" s="5">
        <v>41</v>
      </c>
      <c r="AP27" s="5">
        <v>42</v>
      </c>
      <c r="AQ27" s="5">
        <v>43</v>
      </c>
      <c r="AR27" s="5">
        <v>44</v>
      </c>
      <c r="AS27" s="5">
        <v>45</v>
      </c>
      <c r="AT27" s="5">
        <v>46</v>
      </c>
      <c r="AU27" s="5">
        <v>47</v>
      </c>
      <c r="AV27" s="5">
        <v>48</v>
      </c>
      <c r="AW27" s="5">
        <v>49</v>
      </c>
      <c r="AX27" s="5">
        <v>50</v>
      </c>
      <c r="AY27" s="5">
        <v>51</v>
      </c>
      <c r="AZ27" s="5">
        <v>52</v>
      </c>
      <c r="BA27" s="5">
        <v>53</v>
      </c>
      <c r="BB27" s="5">
        <v>54</v>
      </c>
      <c r="BC27" s="5">
        <v>55</v>
      </c>
      <c r="BD27" s="5">
        <v>56</v>
      </c>
      <c r="BE27" s="5">
        <v>57</v>
      </c>
      <c r="BF27" s="5">
        <v>58</v>
      </c>
      <c r="BG27" s="5">
        <v>59</v>
      </c>
      <c r="BH27" s="5">
        <v>60</v>
      </c>
      <c r="BI27" s="5">
        <v>61</v>
      </c>
      <c r="BJ27" s="5">
        <v>62</v>
      </c>
      <c r="BK27" s="5">
        <v>63</v>
      </c>
      <c r="BL27" s="5">
        <v>64</v>
      </c>
      <c r="BM27" s="5">
        <v>65</v>
      </c>
      <c r="BN27" s="5">
        <v>66</v>
      </c>
      <c r="BO27" s="5">
        <v>67</v>
      </c>
      <c r="BP27" s="5">
        <v>68</v>
      </c>
      <c r="BQ27" s="5">
        <v>69</v>
      </c>
      <c r="BR27" s="5">
        <v>70</v>
      </c>
      <c r="BS27" s="5">
        <v>71</v>
      </c>
      <c r="BT27" s="5">
        <v>72</v>
      </c>
      <c r="BU27" s="5">
        <v>73</v>
      </c>
      <c r="BV27" s="5">
        <v>74</v>
      </c>
      <c r="BW27" s="5">
        <v>75</v>
      </c>
      <c r="BX27" s="5">
        <v>76</v>
      </c>
      <c r="BY27" s="5">
        <v>77</v>
      </c>
      <c r="BZ27" s="5">
        <v>78</v>
      </c>
      <c r="CA27" s="5">
        <v>79</v>
      </c>
      <c r="CB27" s="5">
        <v>80</v>
      </c>
      <c r="CC27" s="5">
        <v>81</v>
      </c>
      <c r="CD27" s="5">
        <v>82</v>
      </c>
      <c r="CE27" s="5">
        <v>83</v>
      </c>
      <c r="CF27" s="5">
        <v>84</v>
      </c>
      <c r="CG27" s="5">
        <v>85</v>
      </c>
      <c r="CH27" s="5">
        <v>86</v>
      </c>
      <c r="CI27" s="5">
        <v>87</v>
      </c>
      <c r="CJ27" s="5">
        <v>88</v>
      </c>
      <c r="CK27" s="5">
        <v>89</v>
      </c>
      <c r="CL27" s="5">
        <v>90</v>
      </c>
      <c r="CM27" s="5">
        <v>91</v>
      </c>
      <c r="CN27" s="5">
        <v>92</v>
      </c>
      <c r="CO27" s="5">
        <v>93</v>
      </c>
      <c r="CP27" s="5">
        <v>94</v>
      </c>
      <c r="CQ27" s="5">
        <v>95</v>
      </c>
      <c r="CR27" s="5">
        <v>96</v>
      </c>
      <c r="CS27" s="5">
        <v>97</v>
      </c>
      <c r="CT27" s="5">
        <v>98</v>
      </c>
      <c r="CU27" s="5">
        <v>99</v>
      </c>
      <c r="CV27" s="5">
        <v>100</v>
      </c>
      <c r="CW27" s="5">
        <v>101</v>
      </c>
      <c r="CX27" s="5">
        <v>102</v>
      </c>
      <c r="CY27" s="5">
        <v>103</v>
      </c>
      <c r="CZ27" s="5">
        <v>104</v>
      </c>
      <c r="DA27" s="5">
        <v>105</v>
      </c>
      <c r="DB27" s="5">
        <v>106</v>
      </c>
      <c r="DC27" s="5">
        <v>107</v>
      </c>
      <c r="DD27" s="5">
        <v>108</v>
      </c>
      <c r="DE27" s="5">
        <v>109</v>
      </c>
      <c r="DF27" s="5">
        <v>110</v>
      </c>
      <c r="DG27" s="5">
        <v>111</v>
      </c>
      <c r="DH27" s="5">
        <v>112</v>
      </c>
      <c r="DI27" s="5">
        <v>113</v>
      </c>
      <c r="DJ27" s="5">
        <v>114</v>
      </c>
      <c r="DK27" s="5">
        <v>115</v>
      </c>
      <c r="DL27" s="5">
        <v>116</v>
      </c>
      <c r="DM27" s="5">
        <v>117</v>
      </c>
      <c r="DN27" s="5">
        <v>118</v>
      </c>
      <c r="DO27" s="5">
        <v>119</v>
      </c>
      <c r="DP27" s="5">
        <v>120</v>
      </c>
      <c r="DQ27" s="5">
        <v>121</v>
      </c>
      <c r="DR27" s="5">
        <v>122</v>
      </c>
      <c r="DS27" s="5">
        <v>123</v>
      </c>
      <c r="DT27" s="5">
        <v>124</v>
      </c>
      <c r="DU27" s="5">
        <v>125</v>
      </c>
      <c r="DV27" s="5">
        <v>126</v>
      </c>
      <c r="DW27" s="5">
        <v>127</v>
      </c>
      <c r="DX27" s="5">
        <v>128</v>
      </c>
      <c r="DY27" s="5">
        <v>129</v>
      </c>
      <c r="DZ27" s="5">
        <v>130</v>
      </c>
      <c r="EA27" s="5">
        <v>131</v>
      </c>
      <c r="EB27" s="5">
        <v>132</v>
      </c>
      <c r="EC27" s="5">
        <v>133</v>
      </c>
      <c r="ED27" s="5">
        <v>134</v>
      </c>
      <c r="EE27" s="5">
        <v>135</v>
      </c>
      <c r="EF27" s="5">
        <v>136</v>
      </c>
      <c r="EG27" s="5">
        <v>137</v>
      </c>
      <c r="EH27" s="5">
        <v>138</v>
      </c>
      <c r="EI27" s="5">
        <v>139</v>
      </c>
      <c r="EJ27" s="5">
        <v>140</v>
      </c>
      <c r="EK27" s="5">
        <v>141</v>
      </c>
      <c r="EL27" s="5">
        <v>142</v>
      </c>
      <c r="EM27" s="5">
        <v>143</v>
      </c>
      <c r="EN27" s="5">
        <v>144</v>
      </c>
      <c r="EO27" s="5">
        <v>145</v>
      </c>
      <c r="EP27" s="5">
        <v>146</v>
      </c>
      <c r="EQ27" s="5">
        <v>147</v>
      </c>
      <c r="ER27" s="5">
        <v>148</v>
      </c>
      <c r="ES27" s="5">
        <v>149</v>
      </c>
      <c r="ET27" s="5">
        <v>150</v>
      </c>
      <c r="EU27" s="5">
        <v>151</v>
      </c>
      <c r="EV27" s="5">
        <v>152</v>
      </c>
      <c r="EW27" s="5">
        <v>153</v>
      </c>
      <c r="EX27" s="5">
        <v>154</v>
      </c>
      <c r="EY27" s="5">
        <v>155</v>
      </c>
      <c r="EZ27" s="5">
        <v>156</v>
      </c>
      <c r="FA27" s="5">
        <v>157</v>
      </c>
      <c r="FB27" s="5">
        <v>158</v>
      </c>
      <c r="FC27" s="5">
        <v>159</v>
      </c>
      <c r="FD27" s="5">
        <v>160</v>
      </c>
      <c r="FE27" s="5">
        <v>161</v>
      </c>
      <c r="FF27" s="5">
        <v>162</v>
      </c>
      <c r="FG27" s="5">
        <v>163</v>
      </c>
      <c r="FH27" s="5">
        <v>164</v>
      </c>
      <c r="FI27" s="5">
        <v>165</v>
      </c>
      <c r="FJ27" s="5">
        <v>166</v>
      </c>
      <c r="FK27" s="5">
        <v>167</v>
      </c>
      <c r="FL27" s="5">
        <v>168</v>
      </c>
      <c r="FM27" s="5">
        <v>169</v>
      </c>
      <c r="FN27" s="5">
        <v>170</v>
      </c>
      <c r="FO27" s="5">
        <v>171</v>
      </c>
      <c r="FP27" s="5">
        <v>172</v>
      </c>
      <c r="FQ27" s="5">
        <v>173</v>
      </c>
      <c r="FR27" s="5">
        <v>174</v>
      </c>
      <c r="FS27" s="5">
        <v>175</v>
      </c>
      <c r="FT27" s="5">
        <v>176</v>
      </c>
      <c r="FU27" s="5">
        <v>177</v>
      </c>
      <c r="FV27" s="5">
        <v>178</v>
      </c>
      <c r="FW27" s="5">
        <v>179</v>
      </c>
      <c r="FX27" s="5">
        <v>180</v>
      </c>
      <c r="FY27" s="5">
        <v>181</v>
      </c>
      <c r="FZ27" s="5">
        <v>182</v>
      </c>
      <c r="GA27" s="5">
        <v>183</v>
      </c>
      <c r="GB27" s="5">
        <v>184</v>
      </c>
      <c r="GC27" s="5">
        <v>185</v>
      </c>
      <c r="GD27" s="5">
        <v>186</v>
      </c>
      <c r="GE27" s="5">
        <v>187</v>
      </c>
      <c r="GF27" s="5">
        <v>188</v>
      </c>
      <c r="GG27" s="5">
        <v>189</v>
      </c>
      <c r="GH27" s="5">
        <v>190</v>
      </c>
      <c r="GI27" s="5">
        <v>191</v>
      </c>
      <c r="GJ27" s="5">
        <v>192</v>
      </c>
      <c r="GK27" s="5">
        <v>193</v>
      </c>
      <c r="GL27" s="5">
        <v>194</v>
      </c>
      <c r="GM27" s="5">
        <v>195</v>
      </c>
      <c r="GN27" s="5">
        <v>196</v>
      </c>
      <c r="GO27" s="5">
        <v>197</v>
      </c>
      <c r="GP27" s="5">
        <v>198</v>
      </c>
      <c r="GQ27" s="5">
        <v>199</v>
      </c>
      <c r="GR27" s="5">
        <v>200</v>
      </c>
      <c r="GS27" s="5">
        <v>201</v>
      </c>
      <c r="GT27" s="5">
        <v>202</v>
      </c>
      <c r="GU27" s="5">
        <v>203</v>
      </c>
      <c r="GV27" s="5">
        <v>204</v>
      </c>
      <c r="GW27" s="5">
        <v>205</v>
      </c>
      <c r="GX27" s="5">
        <v>206</v>
      </c>
      <c r="GY27" s="5">
        <v>207</v>
      </c>
      <c r="GZ27" s="5">
        <v>208</v>
      </c>
      <c r="HA27" s="5">
        <v>209</v>
      </c>
      <c r="HB27" s="5">
        <v>210</v>
      </c>
      <c r="HC27" s="5">
        <v>211</v>
      </c>
      <c r="HD27" s="5">
        <v>212</v>
      </c>
      <c r="HE27" s="5">
        <v>213</v>
      </c>
      <c r="HF27" s="5">
        <v>214</v>
      </c>
      <c r="HG27" s="5">
        <v>215</v>
      </c>
      <c r="HH27" s="5">
        <v>216</v>
      </c>
      <c r="HI27" s="5">
        <v>217</v>
      </c>
      <c r="HJ27" s="5">
        <v>218</v>
      </c>
      <c r="HK27" s="5">
        <v>219</v>
      </c>
      <c r="HL27" s="5">
        <v>220</v>
      </c>
      <c r="HM27" s="5">
        <v>221</v>
      </c>
      <c r="HN27" s="5">
        <v>222</v>
      </c>
      <c r="HO27" s="5">
        <v>223</v>
      </c>
      <c r="HP27" s="5">
        <v>224</v>
      </c>
      <c r="HQ27" s="5">
        <v>225</v>
      </c>
      <c r="HR27" s="5">
        <v>226</v>
      </c>
      <c r="HS27" s="5">
        <v>227</v>
      </c>
      <c r="HT27" s="5">
        <v>228</v>
      </c>
      <c r="HU27" s="5">
        <v>229</v>
      </c>
      <c r="HV27" s="5">
        <v>230</v>
      </c>
      <c r="HW27" s="5">
        <v>231</v>
      </c>
      <c r="HX27" s="5">
        <v>232</v>
      </c>
      <c r="HY27" s="5">
        <v>233</v>
      </c>
      <c r="HZ27" s="5">
        <v>234</v>
      </c>
      <c r="IA27" s="5">
        <v>235</v>
      </c>
      <c r="IB27" s="5">
        <v>236</v>
      </c>
      <c r="IC27" s="5">
        <v>237</v>
      </c>
      <c r="ID27" s="5">
        <v>238</v>
      </c>
      <c r="IE27" s="5">
        <v>239</v>
      </c>
      <c r="IF27" s="5">
        <v>240</v>
      </c>
      <c r="IG27" s="5">
        <v>241</v>
      </c>
      <c r="IH27" s="5">
        <v>242</v>
      </c>
      <c r="II27" s="5">
        <v>243</v>
      </c>
      <c r="IJ27" s="5">
        <v>244</v>
      </c>
      <c r="IK27" s="5">
        <v>245</v>
      </c>
      <c r="IL27" s="5">
        <v>246</v>
      </c>
      <c r="IM27" s="5">
        <v>247</v>
      </c>
      <c r="IN27" s="5">
        <v>248</v>
      </c>
      <c r="IO27" s="5">
        <v>249</v>
      </c>
      <c r="IP27" s="5">
        <v>250</v>
      </c>
      <c r="IQ27" s="5">
        <v>251</v>
      </c>
      <c r="IR27" s="5">
        <v>252</v>
      </c>
      <c r="IS27" s="5">
        <v>253</v>
      </c>
      <c r="IT27" s="5">
        <v>254</v>
      </c>
      <c r="IU27" s="5">
        <v>255</v>
      </c>
      <c r="IV27" s="5">
        <v>256</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cameront</dc:creator>
  <cp:keywords/>
  <dc:description/>
  <cp:lastModifiedBy>cameront</cp:lastModifiedBy>
  <dcterms:created xsi:type="dcterms:W3CDTF">2013-11-22T11:01:21Z</dcterms:created>
  <dcterms:modified xsi:type="dcterms:W3CDTF">2014-01-06T09:20:43Z</dcterms:modified>
  <cp:category/>
  <cp:version/>
  <cp:contentType/>
  <cp:contentStatus/>
</cp:coreProperties>
</file>