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180" tabRatio="598" activeTab="0"/>
  </bookViews>
  <sheets>
    <sheet name="profile" sheetId="1" r:id="rId1"/>
    <sheet name="data" sheetId="2" r:id="rId2"/>
  </sheets>
  <definedNames>
    <definedName name="ASGlist">'data'!$A$2:$A$32</definedName>
  </definedNames>
  <calcPr fullCalcOnLoad="1"/>
</workbook>
</file>

<file path=xl/sharedStrings.xml><?xml version="1.0" encoding="utf-8"?>
<sst xmlns="http://schemas.openxmlformats.org/spreadsheetml/2006/main" count="551" uniqueCount="485">
  <si>
    <t/>
  </si>
  <si>
    <t>Highland</t>
  </si>
  <si>
    <t>Scotland</t>
  </si>
  <si>
    <t>Description</t>
  </si>
  <si>
    <t>Percentage</t>
  </si>
  <si>
    <t>Number</t>
  </si>
  <si>
    <t>All people</t>
  </si>
  <si>
    <t>      Males</t>
  </si>
  <si>
    <t>      Females</t>
  </si>
  <si>
    <t>Age</t>
  </si>
  <si>
    <t>      0 to 4 years old</t>
  </si>
  <si>
    <t>      5 to 15 years old</t>
  </si>
  <si>
    <t>      16 to 29 years old</t>
  </si>
  <si>
    <t>      30 to 44 years old</t>
  </si>
  <si>
    <t>      45 to 59 years old</t>
  </si>
  <si>
    <t>      60 to 74 years old</t>
  </si>
  <si>
    <t>      75 and over</t>
  </si>
  <si>
    <t> </t>
  </si>
  <si>
    <t>      Under 16</t>
  </si>
  <si>
    <t>      16 to 64</t>
  </si>
  <si>
    <t>      65 and over</t>
  </si>
  <si>
    <t>All people aged 16 and over</t>
  </si>
  <si>
    <t>Resident type</t>
  </si>
  <si>
    <t>      People living in a household</t>
  </si>
  <si>
    <t>      People living in a communal establishment</t>
  </si>
  <si>
    <t>Average number of persons per household</t>
  </si>
  <si>
    <t>Average number of cars or vans per household</t>
  </si>
  <si>
    <t>Household size</t>
  </si>
  <si>
    <t>Total number of households (with residents)</t>
  </si>
  <si>
    <t>      1 person</t>
  </si>
  <si>
    <t>      2 people</t>
  </si>
  <si>
    <t>      3 people</t>
  </si>
  <si>
    <t>      4 people</t>
  </si>
  <si>
    <t>      5 people</t>
  </si>
  <si>
    <t>      6 or more people</t>
  </si>
  <si>
    <t>Tenure</t>
  </si>
  <si>
    <t>       Owned</t>
  </si>
  <si>
    <t>       Rented from Council</t>
  </si>
  <si>
    <t>       Other social rented</t>
  </si>
  <si>
    <t>       Private rented</t>
  </si>
  <si>
    <t>       Living rent free</t>
  </si>
  <si>
    <t>Car or van availability</t>
  </si>
  <si>
    <t>       No car or van</t>
  </si>
  <si>
    <t>       1 car or van</t>
  </si>
  <si>
    <t>       2 cars or vans</t>
  </si>
  <si>
    <t>       3 or more cars or vans</t>
  </si>
  <si>
    <t>General health</t>
  </si>
  <si>
    <t>      Very good</t>
  </si>
  <si>
    <t>      Good</t>
  </si>
  <si>
    <t>      Fair</t>
  </si>
  <si>
    <t>      Bad</t>
  </si>
  <si>
    <t>      Very bad</t>
  </si>
  <si>
    <t>Limiting long-term health</t>
  </si>
  <si>
    <t>      Limited a lot</t>
  </si>
  <si>
    <t>      Limited a little</t>
  </si>
  <si>
    <t>      Not limited</t>
  </si>
  <si>
    <t>Provision of unpaid care</t>
  </si>
  <si>
    <t>      Not providing care</t>
  </si>
  <si>
    <t>      Providing 1 to 19 hours of care a week</t>
  </si>
  <si>
    <t>      Providing 20 to 34 hours of care a week</t>
  </si>
  <si>
    <t>      Providing 35 to 49 hours of care a week</t>
  </si>
  <si>
    <t>      Providing 50 or more hours of care a week</t>
  </si>
  <si>
    <t>Identity</t>
  </si>
  <si>
    <t>       White - Scottish</t>
  </si>
  <si>
    <t>       White - Other British</t>
  </si>
  <si>
    <t>       White - Irish</t>
  </si>
  <si>
    <t>       White - Polish</t>
  </si>
  <si>
    <t>       White - Other</t>
  </si>
  <si>
    <t>       Asian, Asian Scottish or Asian British</t>
  </si>
  <si>
    <t>       Other ethnic groups</t>
  </si>
  <si>
    <t>National identity</t>
  </si>
  <si>
    <t>       Scottish identity only</t>
  </si>
  <si>
    <t>       British identity only</t>
  </si>
  <si>
    <t>       Scottish and British identities only</t>
  </si>
  <si>
    <t>       Scottish and any other identities</t>
  </si>
  <si>
    <t>       English identity only</t>
  </si>
  <si>
    <t>       Any other combination of UK identities (UK only)</t>
  </si>
  <si>
    <t>       Other identity</t>
  </si>
  <si>
    <t>       Other identity and at least one UK identity</t>
  </si>
  <si>
    <t>Religion</t>
  </si>
  <si>
    <t>       Church of Scotland</t>
  </si>
  <si>
    <t>       Roman Catholic</t>
  </si>
  <si>
    <t>       Other Christian</t>
  </si>
  <si>
    <t>       Muslim</t>
  </si>
  <si>
    <t>       Other religions</t>
  </si>
  <si>
    <t>       No religion</t>
  </si>
  <si>
    <t>       Not stated</t>
  </si>
  <si>
    <t>Country of birth</t>
  </si>
  <si>
    <t>       England</t>
  </si>
  <si>
    <t>       Wales</t>
  </si>
  <si>
    <t>       Northern Ireland</t>
  </si>
  <si>
    <t>       Republic Of Ireland</t>
  </si>
  <si>
    <t>       Other countries</t>
  </si>
  <si>
    <t>Length of residence in UK</t>
  </si>
  <si>
    <t>All people born outside the UK</t>
  </si>
  <si>
    <t>       resident in UK for less than 2 years</t>
  </si>
  <si>
    <t>       resident in UK for 2 years or more but less than 5 years</t>
  </si>
  <si>
    <t>       resident in UK for 5 years or more but less than 10 years</t>
  </si>
  <si>
    <t>       resident in UK for 10 years or more</t>
  </si>
  <si>
    <t>Language</t>
  </si>
  <si>
    <t>All people aged 3 and over</t>
  </si>
  <si>
    <t>       Speaks English well or very well</t>
  </si>
  <si>
    <t>       Does not speak English well</t>
  </si>
  <si>
    <t>       Does not speak English at all</t>
  </si>
  <si>
    <t>       Able to speak Gaelic</t>
  </si>
  <si>
    <t>       Able to speak Scots</t>
  </si>
  <si>
    <t>       Uses a language other than English at home</t>
  </si>
  <si>
    <t>5 to 15 years old</t>
  </si>
  <si>
    <t>16 to 29 years old</t>
  </si>
  <si>
    <t>30 to 44 years old</t>
  </si>
  <si>
    <t>45 to 59 years old</t>
  </si>
  <si>
    <t>60 to 74 years old</t>
  </si>
  <si>
    <t>75 and over</t>
  </si>
  <si>
    <t>Under 16</t>
  </si>
  <si>
    <t>16 to 64</t>
  </si>
  <si>
    <t>65 and over</t>
  </si>
  <si>
    <t>Males</t>
  </si>
  <si>
    <t>Females</t>
  </si>
  <si>
    <t>Lives in a household</t>
  </si>
  <si>
    <t>Lives in a communal establishment</t>
  </si>
  <si>
    <t>One person</t>
  </si>
  <si>
    <t>Two people</t>
  </si>
  <si>
    <t>Three people</t>
  </si>
  <si>
    <t>Four people</t>
  </si>
  <si>
    <t>Five people</t>
  </si>
  <si>
    <t>Six or more people</t>
  </si>
  <si>
    <t>All occupied household spaces</t>
  </si>
  <si>
    <t>Rented: Council (Local authority)</t>
  </si>
  <si>
    <t>Rented: Other social rented</t>
  </si>
  <si>
    <t>Rented: Private landlord or letting agency</t>
  </si>
  <si>
    <t>Owned</t>
  </si>
  <si>
    <t>Number of cars or vans in household: No cars or vans</t>
  </si>
  <si>
    <t>Number of cars or vans in household: One car or van</t>
  </si>
  <si>
    <t>Number of cars or vans in household: Two cars or vans</t>
  </si>
  <si>
    <t>Very good health</t>
  </si>
  <si>
    <t>Good health</t>
  </si>
  <si>
    <t>Fair health</t>
  </si>
  <si>
    <t>Bad health</t>
  </si>
  <si>
    <t>Very bad health</t>
  </si>
  <si>
    <t>Day0to0day activities limited a lot</t>
  </si>
  <si>
    <t>Day0to0day activities limited a little</t>
  </si>
  <si>
    <t>Day0to0day activities not limited</t>
  </si>
  <si>
    <t>Provides no unpaid care</t>
  </si>
  <si>
    <t>Provides 1 to 19 hours unpaid care a week</t>
  </si>
  <si>
    <t>Provides 20 to 34 hours unpaid care a week</t>
  </si>
  <si>
    <t>Provides 35 to 49 hours unpaid care a week</t>
  </si>
  <si>
    <t>Provides 50 or more hours unpaid care a week</t>
  </si>
  <si>
    <t>Economic activity</t>
  </si>
  <si>
    <t>Hours worked</t>
  </si>
  <si>
    <t>Industry</t>
  </si>
  <si>
    <t>Occupation</t>
  </si>
  <si>
    <t>Highest Qualification</t>
  </si>
  <si>
    <t>Gender</t>
  </si>
  <si>
    <t>Area (square kilometers)</t>
  </si>
  <si>
    <t>Number of people per square kilometre</t>
  </si>
  <si>
    <t>n/a</t>
  </si>
  <si>
    <t>Population Density</t>
  </si>
  <si>
    <t>Unemployment</t>
  </si>
  <si>
    <t>White: Scottish</t>
  </si>
  <si>
    <t>White: Other British</t>
  </si>
  <si>
    <t>White: Irish</t>
  </si>
  <si>
    <t>White: Polish</t>
  </si>
  <si>
    <t>White: Other White</t>
  </si>
  <si>
    <t>Asian, Asian Scottish or Asian British</t>
  </si>
  <si>
    <t>Scottish identity only</t>
  </si>
  <si>
    <t>British identity only</t>
  </si>
  <si>
    <t>Scottish and British identities only</t>
  </si>
  <si>
    <t>Scottish and any other identities</t>
  </si>
  <si>
    <t>English identity only</t>
  </si>
  <si>
    <t>Any other combination of UK identities (UK only)</t>
  </si>
  <si>
    <t>Other identity only (1)</t>
  </si>
  <si>
    <t>Other identity and at least one UK identity</t>
  </si>
  <si>
    <t>Church of Scotland</t>
  </si>
  <si>
    <t>Roman Catholic</t>
  </si>
  <si>
    <t>Other Christian</t>
  </si>
  <si>
    <t>Muslim</t>
  </si>
  <si>
    <t>No religion</t>
  </si>
  <si>
    <t>Religion not stated</t>
  </si>
  <si>
    <t>Europe: United Kingdom: Scotland</t>
  </si>
  <si>
    <t>Europe: United Kingdom: England</t>
  </si>
  <si>
    <t>Europe: United Kingdom: Wales</t>
  </si>
  <si>
    <t>Europe: United Kingdom: Northern Ireland</t>
  </si>
  <si>
    <t>Europe: Republic of Ireland</t>
  </si>
  <si>
    <t>Born outside the UK</t>
  </si>
  <si>
    <t>Less than two years</t>
  </si>
  <si>
    <t>Two years or more and less than five years</t>
  </si>
  <si>
    <t>five years or more and less then ten years</t>
  </si>
  <si>
    <t>Ten years or more</t>
  </si>
  <si>
    <t>Speaks English well or very well</t>
  </si>
  <si>
    <t>Does not speak English well</t>
  </si>
  <si>
    <t>Does not speak English at all</t>
  </si>
  <si>
    <t>Able to speak Gaelic</t>
  </si>
  <si>
    <t xml:space="preserve">       Other Gaelic Skills</t>
  </si>
  <si>
    <t xml:space="preserve">       No skills in Gaelic</t>
  </si>
  <si>
    <t>No skills in Gaelic</t>
  </si>
  <si>
    <t>Able to speak Scots</t>
  </si>
  <si>
    <t>Uses a language other than English at home</t>
  </si>
  <si>
    <t>Economically inactive</t>
  </si>
  <si>
    <t>Economic inactivity</t>
  </si>
  <si>
    <t>Part-time 1 to 15 hours</t>
  </si>
  <si>
    <t>Full-time 49 hours or more</t>
  </si>
  <si>
    <t>B Mining and quarrying</t>
  </si>
  <si>
    <t>C Manufacturing</t>
  </si>
  <si>
    <t>F Construction</t>
  </si>
  <si>
    <t>H Transport and storage</t>
  </si>
  <si>
    <t>I Accommodation and food service activities</t>
  </si>
  <si>
    <t>J Information and communication</t>
  </si>
  <si>
    <t>K Financial and insurance activities</t>
  </si>
  <si>
    <t>L Real estate activities</t>
  </si>
  <si>
    <t>N Administrative and support service activities</t>
  </si>
  <si>
    <t>P Education</t>
  </si>
  <si>
    <t>Q Human health and social work activities</t>
  </si>
  <si>
    <t>All people aged 16 and over: No qualifications</t>
  </si>
  <si>
    <t>All people aged 16 and over: Level 1</t>
  </si>
  <si>
    <t>All people aged 16 and over: Level 2</t>
  </si>
  <si>
    <t>All people aged 16 and over: Level 3</t>
  </si>
  <si>
    <t>All people aged 16 and over: Level 4 and above</t>
  </si>
  <si>
    <t>       Scotland</t>
  </si>
  <si>
    <t>       Other EU countries  (inc UK part not specified)</t>
  </si>
  <si>
    <t>Other EU countries  (inc UK part not specified)</t>
  </si>
  <si>
    <t>ASG</t>
  </si>
  <si>
    <t>pop_profile_OA.All people</t>
  </si>
  <si>
    <t>0 to 4</t>
  </si>
  <si>
    <t>All cars or vans in the households</t>
  </si>
  <si>
    <t>3 or more cars or vans</t>
  </si>
  <si>
    <t>KS201SC.All people</t>
  </si>
  <si>
    <t>KS202SC.All people</t>
  </si>
  <si>
    <t>KS209SCb.All people</t>
  </si>
  <si>
    <t>QS203SC.All people</t>
  </si>
  <si>
    <t>Expr1001</t>
  </si>
  <si>
    <t>Economically active_Employee Part-time</t>
  </si>
  <si>
    <t>Economically active_Employee Full-time</t>
  </si>
  <si>
    <t>Economically active_Self-employed</t>
  </si>
  <si>
    <t>Expr1005</t>
  </si>
  <si>
    <t>Economically active_In employment</t>
  </si>
  <si>
    <t>QS603SC.Economically active_Unemployed</t>
  </si>
  <si>
    <t>KS601SC.All people aged 16 to 74</t>
  </si>
  <si>
    <t>Economically inactive_Retired</t>
  </si>
  <si>
    <t>Economically inactive_Student</t>
  </si>
  <si>
    <t>Economically inactive_Looking after home or family</t>
  </si>
  <si>
    <t>Economically inactive_Long-term sick or disabled</t>
  </si>
  <si>
    <t>Economically inactive_Other</t>
  </si>
  <si>
    <t>KS601SC.Economically active_Unemployed</t>
  </si>
  <si>
    <t>Unemployed people aged 16 to 74_Aged 16 to 24</t>
  </si>
  <si>
    <t>Unemployed people aged 16 to 74_Aged 5- to 74</t>
  </si>
  <si>
    <t>Unemployed people aged 16 to 74_Never worked</t>
  </si>
  <si>
    <t>QS604SCb.All people aged 16 to 74</t>
  </si>
  <si>
    <t>Part-time_16 to 30 hours</t>
  </si>
  <si>
    <t>Full-time_31 to 37 hours</t>
  </si>
  <si>
    <t>Full-time_38 to 48 hours</t>
  </si>
  <si>
    <t>KS605SC.All people aged 16 to 74 in employment</t>
  </si>
  <si>
    <t>D Electricity, gas, steam and air conditioning supply</t>
  </si>
  <si>
    <t>E Water supply, sewerage, waste management and remediation acti</t>
  </si>
  <si>
    <t>G Wholesale and retail trade, repair of motor vehicles and moto</t>
  </si>
  <si>
    <t>M Professional, scientific and technical activities</t>
  </si>
  <si>
    <t>R, S, T, U Other</t>
  </si>
  <si>
    <t>QS606SC.All people aged 16 to 74 in employment</t>
  </si>
  <si>
    <t>1 Managers, directors and senior officials</t>
  </si>
  <si>
    <t>2 Professional occupations</t>
  </si>
  <si>
    <t>3 Associate professional and technical occupations</t>
  </si>
  <si>
    <t>4 Administrative and secretarial occupations</t>
  </si>
  <si>
    <t>5 Skilled trades occupations</t>
  </si>
  <si>
    <t>6 Caring, leisure and other service occupations</t>
  </si>
  <si>
    <t>7 Sales and customer service occupations</t>
  </si>
  <si>
    <t>8 Process, plant and machine operatives</t>
  </si>
  <si>
    <t>9 Elementary occupations</t>
  </si>
  <si>
    <t>Alness Academy</t>
  </si>
  <si>
    <t>Ardnamurchan High</t>
  </si>
  <si>
    <t>Charleston Academy</t>
  </si>
  <si>
    <t>Culloden Academy</t>
  </si>
  <si>
    <t>Dingwall Academy</t>
  </si>
  <si>
    <t>Dornoch Academy</t>
  </si>
  <si>
    <t>Farr High</t>
  </si>
  <si>
    <t>Fortrose Academy</t>
  </si>
  <si>
    <t>Gairloch High</t>
  </si>
  <si>
    <t>Glenurquhart High</t>
  </si>
  <si>
    <t>Golspie High</t>
  </si>
  <si>
    <t>Grantown Grammar</t>
  </si>
  <si>
    <t>Invergordon Academy</t>
  </si>
  <si>
    <t>Inverness High</t>
  </si>
  <si>
    <t>Inverness Royal Academy</t>
  </si>
  <si>
    <t>Kilchuimen Academy</t>
  </si>
  <si>
    <t>Kingussie High</t>
  </si>
  <si>
    <t>Kinlochbervie High</t>
  </si>
  <si>
    <t>Kinlochleven High</t>
  </si>
  <si>
    <t>Lochaber High</t>
  </si>
  <si>
    <t>Mallaig High</t>
  </si>
  <si>
    <t>Millburn Academy</t>
  </si>
  <si>
    <t>Nairn Academy</t>
  </si>
  <si>
    <t>Plockton High</t>
  </si>
  <si>
    <t>Portree High</t>
  </si>
  <si>
    <t>Tain Royal Academy</t>
  </si>
  <si>
    <t>Thurso High</t>
  </si>
  <si>
    <t>Ullapool High</t>
  </si>
  <si>
    <t>Wick High</t>
  </si>
  <si>
    <t>Area sq kms</t>
  </si>
  <si>
    <t>Population</t>
  </si>
  <si>
    <t>Households</t>
  </si>
  <si>
    <t>Health</t>
  </si>
  <si>
    <t>The Economy and Labour Market</t>
  </si>
  <si>
    <t>Education</t>
  </si>
  <si>
    <t>Identity and Language</t>
  </si>
  <si>
    <t>Living rent free</t>
  </si>
  <si>
    <t>A Agriculture, forestry and fishing</t>
  </si>
  <si>
    <t>O Public administration and defence, compulsory social security</t>
  </si>
  <si>
    <t xml:space="preserve">       Rented - other</t>
  </si>
  <si>
    <t xml:space="preserve">       Economically active</t>
  </si>
  <si>
    <t xml:space="preserve">       Employees - part-time</t>
  </si>
  <si>
    <t xml:space="preserve">       Employees - full-time</t>
  </si>
  <si>
    <t xml:space="preserve">       Self-employed</t>
  </si>
  <si>
    <t xml:space="preserve">       Unemployed</t>
  </si>
  <si>
    <t xml:space="preserve">       Full-time student - employed</t>
  </si>
  <si>
    <t xml:space="preserve">       Full-time student - unemployed</t>
  </si>
  <si>
    <t xml:space="preserve">       Economically inactive</t>
  </si>
  <si>
    <t xml:space="preserve">       Retired</t>
  </si>
  <si>
    <t xml:space="preserve">       Student</t>
  </si>
  <si>
    <t xml:space="preserve">       Long-term sick or disabled</t>
  </si>
  <si>
    <t xml:space="preserve">       Looking after home or family</t>
  </si>
  <si>
    <t xml:space="preserve">       Other</t>
  </si>
  <si>
    <t xml:space="preserve">       Aged 16 to 24</t>
  </si>
  <si>
    <t xml:space="preserve">       Never worked</t>
  </si>
  <si>
    <t xml:space="preserve">       Part-time 1 to 15 hours</t>
  </si>
  <si>
    <t xml:space="preserve">       Part-time 16 to 30 hours</t>
  </si>
  <si>
    <t xml:space="preserve">       Full-time 31 to 37 hours</t>
  </si>
  <si>
    <t xml:space="preserve">       Full-time 38 to 48 hours</t>
  </si>
  <si>
    <t xml:space="preserve">       Full-time 49 hours or more</t>
  </si>
  <si>
    <t xml:space="preserve">       A Agriculture forestry and fishing</t>
  </si>
  <si>
    <t xml:space="preserve">       B Mining and quarrying</t>
  </si>
  <si>
    <t xml:space="preserve">       C Manufacturing</t>
  </si>
  <si>
    <t xml:space="preserve">       D Electricity gas steam and air conditioning</t>
  </si>
  <si>
    <t xml:space="preserve">       E Water supply - sewage waste management and remediation activities</t>
  </si>
  <si>
    <t xml:space="preserve">       F Construction</t>
  </si>
  <si>
    <t xml:space="preserve">       G Wholesale and retail trade - repair of motor vehicles and motorcycles</t>
  </si>
  <si>
    <t xml:space="preserve">       H Transport and storage</t>
  </si>
  <si>
    <t xml:space="preserve">       I Accommodation and food service activities</t>
  </si>
  <si>
    <t xml:space="preserve">       J Information and communication</t>
  </si>
  <si>
    <t xml:space="preserve">       K Financial and insurance activities</t>
  </si>
  <si>
    <t xml:space="preserve">       L Real estate activities</t>
  </si>
  <si>
    <t xml:space="preserve">       M Professional scientific and technical activities</t>
  </si>
  <si>
    <t xml:space="preserve">       N Administrative and support service activities</t>
  </si>
  <si>
    <t xml:space="preserve">       O Public administration and defence - compulsory social security</t>
  </si>
  <si>
    <t xml:space="preserve">       P Education</t>
  </si>
  <si>
    <t xml:space="preserve">       Q Human health and social work activities</t>
  </si>
  <si>
    <t xml:space="preserve">       R S T U Other</t>
  </si>
  <si>
    <t xml:space="preserve">       Managers directors and senior officials</t>
  </si>
  <si>
    <t xml:space="preserve">       Professional occupations</t>
  </si>
  <si>
    <t xml:space="preserve">       Associate professional and technical occupations</t>
  </si>
  <si>
    <t xml:space="preserve">       Administrative and secretarial occupations</t>
  </si>
  <si>
    <t xml:space="preserve">       Skilled trades occupations</t>
  </si>
  <si>
    <t xml:space="preserve">       Caring leisure and other service occupations</t>
  </si>
  <si>
    <t xml:space="preserve">       Sales and customer service occupations</t>
  </si>
  <si>
    <t xml:space="preserve">       Elementary occupations</t>
  </si>
  <si>
    <t xml:space="preserve">       Process plant and machine operatives</t>
  </si>
  <si>
    <t xml:space="preserve">       Aged 50 to 74</t>
  </si>
  <si>
    <t xml:space="preserve">       Aged 25 to 49</t>
  </si>
  <si>
    <t>colum no</t>
  </si>
  <si>
    <t>All household spaces</t>
  </si>
  <si>
    <t>Occupied household spaces</t>
  </si>
  <si>
    <t>Unoccupied household spaces</t>
  </si>
  <si>
    <t>Unoccupied household spaces: Second residence/holiday accommodat</t>
  </si>
  <si>
    <t>Unoccupied household spaces: Vacant</t>
  </si>
  <si>
    <t>Unshared dwelling: Total</t>
  </si>
  <si>
    <t>Unshared dwelling: Whole house or bungalow: Detached</t>
  </si>
  <si>
    <t>Unshared dwelling: Whole house or bungalow: Semi-detached</t>
  </si>
  <si>
    <t xml:space="preserve">Unshared dwelling: Whole house or bungalow: Terraced (including </t>
  </si>
  <si>
    <t>Unshared dwelling: Flat maisonette or apartment</t>
  </si>
  <si>
    <t>Unshared dwelling: Caravan or other mobile or temporary structur</t>
  </si>
  <si>
    <t>One person household: Aged 65 and over</t>
  </si>
  <si>
    <t>One person household: Aged under 65</t>
  </si>
  <si>
    <t>One family only: All aged 65 and over</t>
  </si>
  <si>
    <t>One family only: Married or same-sex civil partnership couple: N</t>
  </si>
  <si>
    <t>One family only: Married or same-sex civil partnership couple: W</t>
  </si>
  <si>
    <t>One family only: Cohabiting couple: No children</t>
  </si>
  <si>
    <t>One family only: Cohabiting couple: With dependent children</t>
  </si>
  <si>
    <t>One family only: Cohabiting couple: All children non-dependent</t>
  </si>
  <si>
    <t>One family only: Lone parent: With dependent children</t>
  </si>
  <si>
    <t>One family only: Lone parent: All children non-dependent</t>
  </si>
  <si>
    <t>Other households: With dependent children</t>
  </si>
  <si>
    <t>Other households: All full-time students</t>
  </si>
  <si>
    <t>Other households: All aged 65 and over</t>
  </si>
  <si>
    <t>Other households: Other</t>
  </si>
  <si>
    <t>All households</t>
  </si>
  <si>
    <t>No adults in employment in household: With dependent children</t>
  </si>
  <si>
    <t>Dependent children in household: All ages</t>
  </si>
  <si>
    <t>Dependent children in household: Aged 0 to 4</t>
  </si>
  <si>
    <t>One or more persons in household with a long-term health problem</t>
  </si>
  <si>
    <t>Lone parent: Total</t>
  </si>
  <si>
    <t>Lone parent: In part-time employment</t>
  </si>
  <si>
    <t>Lone parent: In full-time employment</t>
  </si>
  <si>
    <t>Lone parent: Not in employment</t>
  </si>
  <si>
    <t>Aged 65 to 74: One person household</t>
  </si>
  <si>
    <t>Aged 75 and over: One person household</t>
  </si>
  <si>
    <t>Aged 75 and over: Two or more person household</t>
  </si>
  <si>
    <t>All households where HRP is aged 65 and over</t>
  </si>
  <si>
    <t>Shared ownership (part owned and part rented)</t>
  </si>
  <si>
    <t>Rented from council (Local Authority)</t>
  </si>
  <si>
    <t>Other social rented</t>
  </si>
  <si>
    <t>Private rented</t>
  </si>
  <si>
    <t>Work or study mainly at or from home</t>
  </si>
  <si>
    <t>Underground metro light rail or tram</t>
  </si>
  <si>
    <t>Train</t>
  </si>
  <si>
    <t>Bus minibus or coach</t>
  </si>
  <si>
    <t>Taxi or minicab</t>
  </si>
  <si>
    <t>Driving a car or van</t>
  </si>
  <si>
    <t>Passenger in a car or van</t>
  </si>
  <si>
    <t>Motorcycle scooter or moped</t>
  </si>
  <si>
    <t>Bicycle</t>
  </si>
  <si>
    <t>On foot</t>
  </si>
  <si>
    <t>Other</t>
  </si>
  <si>
    <t>Household spaces</t>
  </si>
  <si>
    <t xml:space="preserve">      Occupied household spaces</t>
  </si>
  <si>
    <t xml:space="preserve">      Unoccupied household spaces</t>
  </si>
  <si>
    <t xml:space="preserve">      Unoccupied household spaces: Second residence / holiday accommodation</t>
  </si>
  <si>
    <t xml:space="preserve">      Unoccupied household spaces: Vacant</t>
  </si>
  <si>
    <t>Accommodation Type</t>
  </si>
  <si>
    <t>All Households in unshared dwellings</t>
  </si>
  <si>
    <t xml:space="preserve">      House or bungalow: detached</t>
  </si>
  <si>
    <t xml:space="preserve">      House or bungalow: semi-detached</t>
  </si>
  <si>
    <t xml:space="preserve">      Terraced (including end-terrace)</t>
  </si>
  <si>
    <t xml:space="preserve">      Flat maisonette or apartment</t>
  </si>
  <si>
    <t>      Caravan or other mobile or temporary structure</t>
  </si>
  <si>
    <t>Household composition</t>
  </si>
  <si>
    <t xml:space="preserve">      One person household: Aged 65 and over</t>
  </si>
  <si>
    <t xml:space="preserve">      One person household: Aged under 65</t>
  </si>
  <si>
    <t xml:space="preserve">      One family only: All aged 65 and over</t>
  </si>
  <si>
    <t xml:space="preserve">      One family only: Married or same-sex civil partnership couple: No children</t>
  </si>
  <si>
    <t xml:space="preserve">      One family only: Married or same-sex civil partnership couple: With dependent children</t>
  </si>
  <si>
    <t xml:space="preserve">      One family only: Married or same-sex civil partnership couple:
      All children non-dependent</t>
  </si>
  <si>
    <t xml:space="preserve">      One family only: Cohabiting couple: No children</t>
  </si>
  <si>
    <t xml:space="preserve">      One family only: Cohabiting couple: With dependent children</t>
  </si>
  <si>
    <t xml:space="preserve">      One family only: Cohabiting couple: All children non-dependent</t>
  </si>
  <si>
    <t xml:space="preserve">      One family only: Lone parent: With dependent children</t>
  </si>
  <si>
    <t xml:space="preserve">      One family only: Lone parent: All children non-dependent</t>
  </si>
  <si>
    <t xml:space="preserve">      Other households: With dependent children</t>
  </si>
  <si>
    <t xml:space="preserve">      Other households: All full-time students</t>
  </si>
  <si>
    <t xml:space="preserve">      Other households: All aged 65 and over</t>
  </si>
  <si>
    <t xml:space="preserve">      Other households: Other</t>
  </si>
  <si>
    <t>Families with children</t>
  </si>
  <si>
    <t xml:space="preserve">      No adults in employment in household: With dependent children</t>
  </si>
  <si>
    <t xml:space="preserve">      Dependent children in household: All ages</t>
  </si>
  <si>
    <t xml:space="preserve">      Dependent children in household: Aged 0 to 4</t>
  </si>
  <si>
    <t xml:space="preserve">      One or more persons in household with a long-term health problem or disability:
      With dependent children</t>
  </si>
  <si>
    <t xml:space="preserve">      Lone parent: Total</t>
  </si>
  <si>
    <t xml:space="preserve">      Lone parent: In part-time employment</t>
  </si>
  <si>
    <t xml:space="preserve">      Lone parent: In full-time employment</t>
  </si>
  <si>
    <t xml:space="preserve">      Lone parent: Not in employment</t>
  </si>
  <si>
    <t>Retired people</t>
  </si>
  <si>
    <t xml:space="preserve">      Aged 65 to 74: One person household</t>
  </si>
  <si>
    <t xml:space="preserve">      Aged 75 and over: One person household</t>
  </si>
  <si>
    <t xml:space="preserve">      Aged 75 and over: Two or more person household</t>
  </si>
  <si>
    <t>Retired people: tenure</t>
  </si>
  <si>
    <t xml:space="preserve">      Owned</t>
  </si>
  <si>
    <t xml:space="preserve">      Shared ownership (part owned and part rented)</t>
  </si>
  <si>
    <t xml:space="preserve">      Rented from council (Local Authority)</t>
  </si>
  <si>
    <t xml:space="preserve">      Other social rented</t>
  </si>
  <si>
    <t xml:space="preserve">      Private rented</t>
  </si>
  <si>
    <t xml:space="preserve">      Living rent free</t>
  </si>
  <si>
    <t>Travel to work</t>
  </si>
  <si>
    <t xml:space="preserve">      Work or study mainly at or from home</t>
  </si>
  <si>
    <t xml:space="preserve">      Underground metro light rail or tram</t>
  </si>
  <si>
    <t xml:space="preserve">      Train</t>
  </si>
  <si>
    <t xml:space="preserve">      Bus minibus or coach</t>
  </si>
  <si>
    <t xml:space="preserve">      Taxi or minicab</t>
  </si>
  <si>
    <t xml:space="preserve">      Driving a car or van</t>
  </si>
  <si>
    <t xml:space="preserve">      Passenger in a car or van</t>
  </si>
  <si>
    <t xml:space="preserve">      Motorcycle scooter or moped</t>
  </si>
  <si>
    <t xml:space="preserve">      Bicycle</t>
  </si>
  <si>
    <t xml:space="preserve">      On foot</t>
  </si>
  <si>
    <t xml:space="preserve">      Other</t>
  </si>
  <si>
    <t>One family only: Married or same-sex civil partnership couple: A</t>
  </si>
  <si>
    <t>All people working or studying</t>
  </si>
  <si>
    <t>All persons aged 16 to 74 in employment</t>
  </si>
  <si>
    <t>All persons 16 to 74 in employment</t>
  </si>
  <si>
    <t>All persons aged 16 and over</t>
  </si>
  <si>
    <t>All persons aged 16 to 74 who were unemployed</t>
  </si>
  <si>
    <t>All persons 16 to 74</t>
  </si>
  <si>
    <t xml:space="preserve">       No qualifications</t>
  </si>
  <si>
    <t>Level 1: 0 Grade, Standard Grade, Access 3 Cluster, Intermediate 1 or 2, GCSE, CSE, Senior Certification or equivalent; GSVQ Foundation or Intermediate, SVQ level 1 or 2, SCOTVEC Module, City and Guilds Craft or equivalent; Other school qualifications not already mentioned (including foreign qualifications).</t>
  </si>
  <si>
    <t>Level 2: SCE Higher Grade, Higher, Advanced Higher, CSYS, A Level, AS Level, Advanced Senior Certificate or equivalent; GSVQ Advanced, SVQ level 3, ONC, OND, SCOTVEC National Diploma, City and Guilds Advanced Craft or equivalent.</t>
  </si>
  <si>
    <t>Level 3: HNC, HND, SVQ level 4 or equivalent; Other post-school but pre-Higher Education qualifications not already mentioned (including foreign qualifications).</t>
  </si>
  <si>
    <t>Level 4 and above: Degree, Postgraduate qualifications, Masters, PhD, SVQ level 5 or equivalent; Professional qualifications (for example, teaching, nursing, accountancy); Other Higher Education qualifications not already mentioned (including foreign qualifications).</t>
  </si>
  <si>
    <t>HIGHLAND COUNCIL 2011 CENSUS PROFILE
for Associated School Groups</t>
  </si>
  <si>
    <t>Click on the pink cell below, then click on the down arrow on the right hand side of the cell
to bring up a list of Associated School Groups. Click on the Group you are interested in.</t>
  </si>
  <si>
    <t>Numbers for Highland and Scotland are also available from this list.</t>
  </si>
  <si>
    <r>
      <t>Cautionary Note: Comparison between this Census profile and other profiles for Associated School Groups, or using other ASG data.</t>
    </r>
    <r>
      <rPr>
        <sz val="11"/>
        <color indexed="8"/>
        <rFont val="Arial"/>
        <family val="2"/>
      </rPr>
      <t xml:space="preserve">
Census statistics are reported for small areas ("census output areas") and this Census profile has been designed to take advantage of the local detail that this gives. Two other sets of profiles are available 1) ASG profiles prepared by the Council's I&amp;R team and used by Highlife Highland and 2) Children and Young People's Health and Wellbeing Profiles prepared by NHS Highland and available from the Council's website. Both of these sets of profiles are based on data for much larger data zones, which are the Scottish Government's geography for reporting local statistics, and use an older set of population estimates ("mid year estimates"). Users should be aware that there will be slight differences between the information given in these three sets of profiles.</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</si>
</sst>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9">
    <font>
      <sz val="10"/>
      <color theme="1"/>
      <name val="Arial"/>
      <family val="2"/>
    </font>
    <font>
      <sz val="10"/>
      <color indexed="8"/>
      <name val="Arial"/>
      <family val="2"/>
    </font>
    <font>
      <b/>
      <i/>
      <sz val="13"/>
      <color indexed="8"/>
      <name val="Albany AMT, Helvetica"/>
      <family val="0"/>
    </font>
    <font>
      <b/>
      <sz val="11"/>
      <color indexed="8"/>
      <name val="Albany AMT, Helvetica"/>
      <family val="0"/>
    </font>
    <font>
      <sz val="10"/>
      <color indexed="8"/>
      <name val="Albany AMT, Helvetica"/>
      <family val="0"/>
    </font>
    <font>
      <b/>
      <sz val="10"/>
      <color indexed="8"/>
      <name val="Albany AMT, Helvetica"/>
      <family val="0"/>
    </font>
    <font>
      <b/>
      <i/>
      <sz val="14"/>
      <color indexed="8"/>
      <name val="Albany AMT, Helvetica"/>
      <family val="0"/>
    </font>
    <font>
      <b/>
      <i/>
      <sz val="18"/>
      <color indexed="8"/>
      <name val="Albany AMT, Helvetica"/>
      <family val="0"/>
    </font>
    <font>
      <sz val="11"/>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color indexed="8"/>
      <name val="Arial"/>
      <family val="2"/>
    </font>
    <font>
      <b/>
      <sz val="11"/>
      <color indexed="8"/>
      <name val="Arial"/>
      <family val="2"/>
    </font>
    <font>
      <sz val="8"/>
      <name val="Tahoma"/>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4"/>
      <color theme="1"/>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top/>
      <bottom style="thin">
        <color rgb="FF000000"/>
      </bottom>
    </border>
    <border>
      <left/>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Alignment="1">
      <alignment/>
    </xf>
    <xf numFmtId="0" fontId="0" fillId="33"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0" xfId="0" applyAlignment="1">
      <alignment wrapText="1"/>
    </xf>
    <xf numFmtId="0" fontId="0" fillId="0" borderId="0" xfId="0" applyAlignment="1">
      <alignment/>
    </xf>
    <xf numFmtId="0" fontId="2" fillId="33" borderId="0" xfId="0" applyNumberFormat="1" applyFont="1" applyFill="1" applyBorder="1" applyAlignment="1" applyProtection="1">
      <alignment wrapText="1"/>
      <protection/>
    </xf>
    <xf numFmtId="0" fontId="3" fillId="0" borderId="11" xfId="0" applyNumberFormat="1" applyFont="1" applyFill="1" applyBorder="1" applyAlignment="1" applyProtection="1">
      <alignment wrapText="1"/>
      <protection/>
    </xf>
    <xf numFmtId="0" fontId="3" fillId="0" borderId="12" xfId="0" applyNumberFormat="1" applyFont="1" applyFill="1" applyBorder="1" applyAlignment="1" applyProtection="1">
      <alignment wrapText="1"/>
      <protection/>
    </xf>
    <xf numFmtId="0" fontId="6" fillId="33" borderId="0" xfId="0" applyNumberFormat="1" applyFont="1" applyFill="1" applyBorder="1" applyAlignment="1" applyProtection="1">
      <alignment wrapText="1"/>
      <protection/>
    </xf>
    <xf numFmtId="0" fontId="6" fillId="9" borderId="0" xfId="0" applyNumberFormat="1" applyFont="1" applyFill="1" applyBorder="1" applyAlignment="1" applyProtection="1">
      <alignment wrapText="1"/>
      <protection/>
    </xf>
    <xf numFmtId="3" fontId="0" fillId="0" borderId="0" xfId="0" applyNumberFormat="1" applyAlignment="1">
      <alignment/>
    </xf>
    <xf numFmtId="3" fontId="46" fillId="0" borderId="0" xfId="0" applyNumberFormat="1" applyFont="1" applyAlignment="1">
      <alignment/>
    </xf>
    <xf numFmtId="0" fontId="0" fillId="0" borderId="0" xfId="0" applyFill="1" applyAlignment="1">
      <alignment/>
    </xf>
    <xf numFmtId="0" fontId="0" fillId="0" borderId="0" xfId="0" applyNumberFormat="1" applyFont="1" applyFill="1" applyBorder="1" applyAlignment="1" applyProtection="1">
      <alignment/>
      <protection/>
    </xf>
    <xf numFmtId="0" fontId="0" fillId="0" borderId="0" xfId="0" applyAlignment="1">
      <alignment/>
    </xf>
    <xf numFmtId="0" fontId="0" fillId="33" borderId="0" xfId="0" applyNumberFormat="1" applyFont="1" applyFill="1" applyBorder="1" applyAlignment="1" applyProtection="1">
      <alignment/>
      <protection/>
    </xf>
    <xf numFmtId="0" fontId="4"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horizontal="left" wrapText="1"/>
      <protection/>
    </xf>
    <xf numFmtId="164" fontId="4" fillId="0" borderId="0" xfId="0" applyNumberFormat="1" applyFont="1" applyFill="1" applyBorder="1" applyAlignment="1" applyProtection="1">
      <alignment horizontal="right" wrapText="1"/>
      <protection/>
    </xf>
    <xf numFmtId="3" fontId="4" fillId="0" borderId="0" xfId="0" applyNumberFormat="1" applyFont="1" applyFill="1" applyBorder="1" applyAlignment="1" applyProtection="1">
      <alignment horizontal="right" wrapText="1"/>
      <protection/>
    </xf>
    <xf numFmtId="0" fontId="3" fillId="5" borderId="10" xfId="0" applyNumberFormat="1" applyFont="1" applyFill="1" applyBorder="1" applyAlignment="1" applyProtection="1">
      <alignment horizontal="center" wrapText="1"/>
      <protection/>
    </xf>
    <xf numFmtId="0" fontId="3" fillId="5" borderId="13" xfId="0" applyNumberFormat="1" applyFont="1" applyFill="1" applyBorder="1" applyAlignment="1" applyProtection="1">
      <alignment horizontal="center" wrapText="1"/>
      <protection/>
    </xf>
    <xf numFmtId="0" fontId="0" fillId="0" borderId="0" xfId="0" applyAlignment="1">
      <alignment/>
    </xf>
    <xf numFmtId="0" fontId="4" fillId="0" borderId="10" xfId="0" applyNumberFormat="1" applyFont="1" applyFill="1" applyBorder="1" applyAlignment="1" applyProtection="1">
      <alignment horizontal="left" wrapText="1"/>
      <protection/>
    </xf>
    <xf numFmtId="0" fontId="0" fillId="0" borderId="0" xfId="0" applyAlignment="1">
      <alignment/>
    </xf>
    <xf numFmtId="0" fontId="4"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0" xfId="0" applyAlignment="1">
      <alignment wrapText="1"/>
    </xf>
    <xf numFmtId="164" fontId="4" fillId="0" borderId="10" xfId="0" applyNumberFormat="1" applyFont="1" applyFill="1" applyBorder="1" applyAlignment="1" applyProtection="1">
      <alignment horizontal="center" wrapText="1"/>
      <protection/>
    </xf>
    <xf numFmtId="3" fontId="4" fillId="0" borderId="10" xfId="0" applyNumberFormat="1" applyFont="1" applyFill="1" applyBorder="1" applyAlignment="1" applyProtection="1">
      <alignment horizontal="center" wrapText="1"/>
      <protection/>
    </xf>
    <xf numFmtId="164" fontId="5" fillId="0" borderId="10" xfId="0" applyNumberFormat="1" applyFont="1" applyFill="1" applyBorder="1" applyAlignment="1" applyProtection="1">
      <alignment horizontal="center" wrapText="1"/>
      <protection/>
    </xf>
    <xf numFmtId="3" fontId="5" fillId="0" borderId="10" xfId="0" applyNumberFormat="1" applyFont="1" applyFill="1" applyBorder="1" applyAlignment="1" applyProtection="1">
      <alignment horizontal="center" wrapText="1"/>
      <protection/>
    </xf>
    <xf numFmtId="165" fontId="4" fillId="0" borderId="10" xfId="0" applyNumberFormat="1" applyFont="1" applyFill="1" applyBorder="1" applyAlignment="1" applyProtection="1">
      <alignment horizontal="center" wrapText="1"/>
      <protection/>
    </xf>
    <xf numFmtId="0" fontId="0" fillId="33"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wrapText="1"/>
      <protection/>
    </xf>
    <xf numFmtId="10" fontId="3" fillId="0" borderId="12" xfId="0" applyNumberFormat="1" applyFont="1" applyFill="1" applyBorder="1" applyAlignment="1" applyProtection="1">
      <alignment horizontal="center" wrapText="1"/>
      <protection/>
    </xf>
    <xf numFmtId="0" fontId="3" fillId="0" borderId="12" xfId="0" applyNumberFormat="1" applyFont="1" applyFill="1" applyBorder="1" applyAlignment="1" applyProtection="1">
      <alignment horizontal="center" wrapText="1"/>
      <protection/>
    </xf>
    <xf numFmtId="4" fontId="4" fillId="0" borderId="10" xfId="0" applyNumberFormat="1" applyFont="1" applyFill="1" applyBorder="1" applyAlignment="1" applyProtection="1">
      <alignment horizontal="center" wrapText="1"/>
      <protection/>
    </xf>
    <xf numFmtId="3" fontId="0" fillId="0" borderId="0" xfId="0" applyNumberFormat="1" applyAlignment="1">
      <alignment horizontal="center"/>
    </xf>
    <xf numFmtId="3" fontId="5" fillId="34" borderId="10" xfId="0" applyNumberFormat="1" applyFont="1" applyFill="1" applyBorder="1" applyAlignment="1" applyProtection="1">
      <alignment horizontal="center" wrapText="1"/>
      <protection/>
    </xf>
    <xf numFmtId="3" fontId="4" fillId="34" borderId="10" xfId="0" applyNumberFormat="1" applyFont="1" applyFill="1" applyBorder="1" applyAlignment="1" applyProtection="1">
      <alignment horizontal="center" wrapText="1"/>
      <protection/>
    </xf>
    <xf numFmtId="0" fontId="4" fillId="0" borderId="10" xfId="0" applyNumberFormat="1" applyFont="1" applyFill="1" applyBorder="1" applyAlignment="1" applyProtection="1">
      <alignment horizontal="left" wrapText="1" indent="2"/>
      <protection/>
    </xf>
    <xf numFmtId="0" fontId="0" fillId="0" borderId="0" xfId="0" applyAlignment="1">
      <alignment horizontal="center"/>
    </xf>
    <xf numFmtId="0" fontId="3" fillId="0" borderId="0"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left" wrapText="1"/>
      <protection/>
    </xf>
    <xf numFmtId="0" fontId="3" fillId="5" borderId="13" xfId="0" applyNumberFormat="1" applyFont="1" applyFill="1" applyBorder="1" applyAlignment="1" applyProtection="1">
      <alignment horizontal="center" wrapText="1"/>
      <protection/>
    </xf>
    <xf numFmtId="0" fontId="3" fillId="5" borderId="14" xfId="0" applyNumberFormat="1" applyFont="1" applyFill="1" applyBorder="1" applyAlignment="1" applyProtection="1">
      <alignment horizontal="center" wrapText="1"/>
      <protection/>
    </xf>
    <xf numFmtId="0" fontId="7" fillId="33" borderId="15"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0" fillId="0" borderId="0" xfId="0" applyAlignment="1">
      <alignment horizontal="center"/>
    </xf>
    <xf numFmtId="0" fontId="47" fillId="0" borderId="18" xfId="0" applyFont="1" applyBorder="1" applyAlignment="1">
      <alignment horizontal="center" vertical="center" wrapText="1"/>
    </xf>
    <xf numFmtId="0" fontId="47" fillId="0" borderId="19" xfId="0" applyFont="1" applyBorder="1" applyAlignment="1">
      <alignment horizontal="center" vertical="center" wrapText="1"/>
    </xf>
    <xf numFmtId="0" fontId="47" fillId="0" borderId="20" xfId="0" applyFont="1" applyBorder="1" applyAlignment="1">
      <alignment horizontal="center" vertical="center" wrapText="1"/>
    </xf>
    <xf numFmtId="0" fontId="4" fillId="0" borderId="21" xfId="0" applyNumberFormat="1" applyFont="1" applyFill="1" applyBorder="1" applyAlignment="1" applyProtection="1">
      <alignment horizontal="center" wrapText="1"/>
      <protection/>
    </xf>
    <xf numFmtId="0" fontId="4" fillId="0" borderId="22" xfId="0" applyNumberFormat="1" applyFont="1" applyFill="1" applyBorder="1" applyAlignment="1" applyProtection="1">
      <alignment horizontal="center" wrapText="1"/>
      <protection/>
    </xf>
    <xf numFmtId="0" fontId="4" fillId="0" borderId="23" xfId="0" applyNumberFormat="1" applyFont="1" applyFill="1" applyBorder="1" applyAlignment="1" applyProtection="1">
      <alignment horizontal="center" wrapText="1"/>
      <protection/>
    </xf>
    <xf numFmtId="0" fontId="48" fillId="0" borderId="15" xfId="0" applyNumberFormat="1" applyFont="1" applyFill="1" applyBorder="1" applyAlignment="1" applyProtection="1">
      <alignment horizontal="left" wrapText="1"/>
      <protection/>
    </xf>
    <xf numFmtId="0" fontId="3" fillId="0" borderId="16" xfId="0" applyNumberFormat="1" applyFont="1" applyFill="1" applyBorder="1" applyAlignment="1" applyProtection="1">
      <alignment horizontal="left" wrapText="1"/>
      <protection/>
    </xf>
    <xf numFmtId="0" fontId="3" fillId="0" borderId="17" xfId="0" applyNumberFormat="1" applyFont="1" applyFill="1" applyBorder="1" applyAlignment="1" applyProtection="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4" xfId="57"/>
    <cellStyle name="Normal 5" xfId="58"/>
    <cellStyle name="Normal 6" xfId="59"/>
    <cellStyle name="Normal 7"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15"/>
  <sheetViews>
    <sheetView tabSelected="1" zoomScalePageLayoutView="0" workbookViewId="0" topLeftCell="A1">
      <selection activeCell="A6" sqref="A6"/>
    </sheetView>
  </sheetViews>
  <sheetFormatPr defaultColWidth="9.140625" defaultRowHeight="12.75"/>
  <cols>
    <col min="1" max="1" width="78.00390625" style="0" customWidth="1"/>
    <col min="2" max="2" width="28.140625" style="5" customWidth="1"/>
    <col min="3" max="3" width="19.57421875" style="5" customWidth="1"/>
    <col min="4" max="5" width="14.57421875" style="0" customWidth="1"/>
  </cols>
  <sheetData>
    <row r="1" spans="1:5" s="26" customFormat="1" ht="75" customHeight="1">
      <c r="A1" s="49" t="s">
        <v>481</v>
      </c>
      <c r="B1" s="50"/>
      <c r="C1" s="50"/>
      <c r="D1" s="50"/>
      <c r="E1" s="51"/>
    </row>
    <row r="2" spans="1:5" s="26" customFormat="1" ht="12.75">
      <c r="A2" s="52"/>
      <c r="B2" s="52"/>
      <c r="C2" s="52"/>
      <c r="D2" s="52"/>
      <c r="E2" s="52"/>
    </row>
    <row r="3" spans="1:5" s="26" customFormat="1" ht="72" customHeight="1">
      <c r="A3" s="53" t="s">
        <v>482</v>
      </c>
      <c r="B3" s="54"/>
      <c r="C3" s="54"/>
      <c r="D3" s="54"/>
      <c r="E3" s="55"/>
    </row>
    <row r="4" spans="1:5" s="26" customFormat="1" ht="12.75">
      <c r="A4" s="56" t="s">
        <v>483</v>
      </c>
      <c r="B4" s="57"/>
      <c r="C4" s="57"/>
      <c r="D4" s="57"/>
      <c r="E4" s="58"/>
    </row>
    <row r="5" s="5" customFormat="1" ht="12.75"/>
    <row r="6" s="5" customFormat="1" ht="18.75">
      <c r="A6" s="10" t="s">
        <v>266</v>
      </c>
    </row>
    <row r="7" spans="2:5" s="26" customFormat="1" ht="12.75">
      <c r="B7" s="44"/>
      <c r="C7" s="44"/>
      <c r="D7" s="44"/>
      <c r="E7" s="44"/>
    </row>
    <row r="8" spans="1:5" s="26" customFormat="1" ht="105.75" customHeight="1">
      <c r="A8" s="59" t="s">
        <v>484</v>
      </c>
      <c r="B8" s="60"/>
      <c r="C8" s="60"/>
      <c r="D8" s="60"/>
      <c r="E8" s="61"/>
    </row>
    <row r="9" s="5" customFormat="1" ht="12.75"/>
    <row r="10" s="5" customFormat="1" ht="12.75"/>
    <row r="11" spans="1:5" ht="18.75">
      <c r="A11" s="9" t="s">
        <v>296</v>
      </c>
      <c r="B11" s="6"/>
      <c r="C11" s="6"/>
      <c r="D11" s="6"/>
      <c r="E11" s="6"/>
    </row>
    <row r="12" spans="1:5" ht="12.75">
      <c r="A12" s="1"/>
      <c r="B12" s="1"/>
      <c r="C12" s="1"/>
      <c r="D12" s="1"/>
      <c r="E12" s="1"/>
    </row>
    <row r="13" spans="1:5" ht="15">
      <c r="A13" s="22" t="s">
        <v>0</v>
      </c>
      <c r="B13" s="47" t="str">
        <f>CONCATENATE($A$6," ASG")</f>
        <v>Alness Academy ASG</v>
      </c>
      <c r="C13" s="48"/>
      <c r="D13" s="23" t="s">
        <v>1</v>
      </c>
      <c r="E13" s="23" t="s">
        <v>2</v>
      </c>
    </row>
    <row r="14" spans="1:5" ht="15">
      <c r="A14" s="22" t="s">
        <v>3</v>
      </c>
      <c r="B14" s="22" t="s">
        <v>4</v>
      </c>
      <c r="C14" s="22" t="s">
        <v>5</v>
      </c>
      <c r="D14" s="22" t="s">
        <v>4</v>
      </c>
      <c r="E14" s="22" t="s">
        <v>4</v>
      </c>
    </row>
    <row r="15" spans="1:5" ht="12.75">
      <c r="A15" s="1"/>
      <c r="B15" s="1"/>
      <c r="C15" s="1"/>
      <c r="D15" s="1"/>
      <c r="E15" s="1"/>
    </row>
    <row r="16" spans="1:5" ht="15">
      <c r="A16" s="7" t="s">
        <v>156</v>
      </c>
      <c r="B16" s="7"/>
      <c r="C16" s="7"/>
      <c r="D16" s="7"/>
      <c r="E16" s="7"/>
    </row>
    <row r="17" spans="1:5" ht="12.75">
      <c r="A17" s="2" t="s">
        <v>153</v>
      </c>
      <c r="B17" s="30" t="s">
        <v>155</v>
      </c>
      <c r="C17" s="31">
        <f>VLOOKUP($A$6,data!$A$2:$GZ$32,2,FALSE)</f>
        <v>473.882482</v>
      </c>
      <c r="D17" s="30" t="s">
        <v>155</v>
      </c>
      <c r="E17" s="30" t="s">
        <v>155</v>
      </c>
    </row>
    <row r="18" spans="1:5" ht="12.75">
      <c r="A18" s="2" t="s">
        <v>154</v>
      </c>
      <c r="B18" s="30" t="s">
        <v>155</v>
      </c>
      <c r="C18" s="34">
        <f>C21/C17</f>
        <v>17.651467861064347</v>
      </c>
      <c r="D18" s="30" t="s">
        <v>155</v>
      </c>
      <c r="E18" s="30" t="s">
        <v>155</v>
      </c>
    </row>
    <row r="19" spans="1:5" ht="12.75">
      <c r="A19" s="1"/>
      <c r="B19" s="35"/>
      <c r="C19" s="35"/>
      <c r="D19" s="35"/>
      <c r="E19" s="35"/>
    </row>
    <row r="20" spans="1:5" ht="15">
      <c r="A20" s="7" t="s">
        <v>9</v>
      </c>
      <c r="B20" s="36"/>
      <c r="C20" s="36"/>
      <c r="D20" s="36"/>
      <c r="E20" s="36"/>
    </row>
    <row r="21" spans="1:5" ht="12.75">
      <c r="A21" s="3" t="s">
        <v>6</v>
      </c>
      <c r="B21" s="32">
        <f>C21/C$21</f>
        <v>1</v>
      </c>
      <c r="C21" s="33">
        <f>VLOOKUP($A$6,data!$A$2:$GZ$32,3,FALSE)</f>
        <v>8364.721400944403</v>
      </c>
      <c r="D21" s="32">
        <v>1</v>
      </c>
      <c r="E21" s="32">
        <v>1</v>
      </c>
    </row>
    <row r="22" spans="1:5" ht="12.75">
      <c r="A22" s="2" t="s">
        <v>10</v>
      </c>
      <c r="B22" s="30">
        <f>C22/C$21</f>
        <v>0.06504593567672547</v>
      </c>
      <c r="C22" s="31">
        <f>VLOOKUP($A$6,data!$A$2:$GZ$32,4,FALSE)</f>
        <v>544.0911301995586</v>
      </c>
      <c r="D22" s="30">
        <v>0.0547318</v>
      </c>
      <c r="E22" s="30">
        <v>0.05529720778569</v>
      </c>
    </row>
    <row r="23" spans="1:5" ht="12.75">
      <c r="A23" s="2" t="s">
        <v>11</v>
      </c>
      <c r="B23" s="30">
        <f aca="true" t="shared" si="0" ref="B23:B32">C23/C$21</f>
        <v>0.13797609983958276</v>
      </c>
      <c r="C23" s="31">
        <f>VLOOKUP($A$6,data!$A$2:$GZ$32,5,FALSE)</f>
        <v>1154.1316351469995</v>
      </c>
      <c r="D23" s="30">
        <v>0.1236064</v>
      </c>
      <c r="E23" s="30">
        <v>0.11774552380621</v>
      </c>
    </row>
    <row r="24" spans="1:5" ht="12.75">
      <c r="A24" s="2" t="s">
        <v>12</v>
      </c>
      <c r="B24" s="30">
        <f t="shared" si="0"/>
        <v>0.1595789974803889</v>
      </c>
      <c r="C24" s="31">
        <f>VLOOKUP($A$6,data!$A$2:$GZ$32,6,FALSE)</f>
        <v>1334.8338553654621</v>
      </c>
      <c r="D24" s="30">
        <v>0.1499362</v>
      </c>
      <c r="E24" s="30">
        <v>0.18471115418411</v>
      </c>
    </row>
    <row r="25" spans="1:5" ht="12.75">
      <c r="A25" s="2" t="s">
        <v>13</v>
      </c>
      <c r="B25" s="30">
        <f t="shared" si="0"/>
        <v>0.19785371599732096</v>
      </c>
      <c r="C25" s="31">
        <f>VLOOKUP($A$6,data!$A$2:$GZ$32,7,FALSE)</f>
        <v>1654.9912124591667</v>
      </c>
      <c r="D25" s="30">
        <v>0.1866395</v>
      </c>
      <c r="E25" s="30">
        <v>0.1995030406562</v>
      </c>
    </row>
    <row r="26" spans="1:5" ht="12.75">
      <c r="A26" s="2" t="s">
        <v>14</v>
      </c>
      <c r="B26" s="30">
        <f t="shared" si="0"/>
        <v>0.20922284745048592</v>
      </c>
      <c r="C26" s="31">
        <f>VLOOKUP($A$6,data!$A$2:$GZ$32,8,FALSE)</f>
        <v>1750.0908296356058</v>
      </c>
      <c r="D26" s="30">
        <v>0.2265952</v>
      </c>
      <c r="E26" s="30">
        <v>0.21105985701182</v>
      </c>
    </row>
    <row r="27" spans="1:5" ht="12.75">
      <c r="A27" s="2" t="s">
        <v>15</v>
      </c>
      <c r="B27" s="30">
        <f t="shared" si="0"/>
        <v>0.17315518737093638</v>
      </c>
      <c r="C27" s="31">
        <f>VLOOKUP($A$6,data!$A$2:$GZ$32,9,FALSE)</f>
        <v>1448.3949014862096</v>
      </c>
      <c r="D27" s="30">
        <v>0.1758784</v>
      </c>
      <c r="E27" s="30">
        <v>0.15453290335032</v>
      </c>
    </row>
    <row r="28" spans="1:5" ht="12.75">
      <c r="A28" s="2" t="s">
        <v>16</v>
      </c>
      <c r="B28" s="30">
        <f t="shared" si="0"/>
        <v>0.05716721618455963</v>
      </c>
      <c r="C28" s="31">
        <f>VLOOKUP($A$6,data!$A$2:$GZ$32,10,FALSE)</f>
        <v>478.1878366514012</v>
      </c>
      <c r="D28" s="30">
        <v>0.0826125</v>
      </c>
      <c r="E28" s="30">
        <v>0.07715031320562</v>
      </c>
    </row>
    <row r="29" spans="1:5" ht="15">
      <c r="A29" s="8" t="s">
        <v>17</v>
      </c>
      <c r="B29" s="37"/>
      <c r="C29" s="38"/>
      <c r="D29" s="38"/>
      <c r="E29" s="38"/>
    </row>
    <row r="30" spans="1:5" ht="12.75">
      <c r="A30" s="2" t="s">
        <v>18</v>
      </c>
      <c r="B30" s="30">
        <f t="shared" si="0"/>
        <v>0.2030220355163082</v>
      </c>
      <c r="C30" s="31">
        <f>VLOOKUP($A$6,data!$A$2:$GZ$32,11,FALSE)</f>
        <v>1698.222765346558</v>
      </c>
      <c r="D30" s="30">
        <v>0.1783382</v>
      </c>
      <c r="E30" s="30">
        <v>0.17304273159191</v>
      </c>
    </row>
    <row r="31" spans="1:5" ht="12.75">
      <c r="A31" s="2" t="s">
        <v>19</v>
      </c>
      <c r="B31" s="30">
        <f t="shared" si="0"/>
        <v>0.641726458588466</v>
      </c>
      <c r="C31" s="31">
        <f>VLOOKUP($A$6,data!$A$2:$GZ$32,12,FALSE)</f>
        <v>5367.863041707204</v>
      </c>
      <c r="D31" s="30">
        <v>0.6362501</v>
      </c>
      <c r="E31" s="30">
        <v>0.65882388932438</v>
      </c>
    </row>
    <row r="32" spans="1:5" ht="12.75">
      <c r="A32" s="2" t="s">
        <v>20</v>
      </c>
      <c r="B32" s="30">
        <f t="shared" si="0"/>
        <v>0.1552515058952259</v>
      </c>
      <c r="C32" s="31">
        <f>VLOOKUP($A$6,data!$A$2:$GZ$32,13,FALSE)</f>
        <v>1298.6355938906422</v>
      </c>
      <c r="D32" s="30">
        <v>0.1854117</v>
      </c>
      <c r="E32" s="30">
        <v>0.1681333790837</v>
      </c>
    </row>
    <row r="33" spans="1:5" ht="12.75">
      <c r="A33" s="1"/>
      <c r="B33" s="35"/>
      <c r="C33" s="35"/>
      <c r="D33" s="35"/>
      <c r="E33" s="35"/>
    </row>
    <row r="34" spans="1:5" ht="15">
      <c r="A34" s="7" t="s">
        <v>152</v>
      </c>
      <c r="B34" s="36"/>
      <c r="C34" s="36"/>
      <c r="D34" s="36"/>
      <c r="E34" s="36"/>
    </row>
    <row r="35" spans="1:5" ht="12.75">
      <c r="A35" s="2" t="s">
        <v>7</v>
      </c>
      <c r="B35" s="30">
        <f>C35/C$21</f>
        <v>0.490225750194818</v>
      </c>
      <c r="C35" s="31">
        <f>VLOOKUP($A$6,data!$A$2:$GZ$32,14,FALSE)</f>
        <v>4100.601823948619</v>
      </c>
      <c r="D35" s="30">
        <v>0.488821</v>
      </c>
      <c r="E35" s="30">
        <v>0.48484392972546</v>
      </c>
    </row>
    <row r="36" spans="1:5" ht="12.75">
      <c r="A36" s="2" t="s">
        <v>8</v>
      </c>
      <c r="B36" s="30">
        <f>C36/C$21</f>
        <v>0.509774249805182</v>
      </c>
      <c r="C36" s="31">
        <f>VLOOKUP($A$6,data!$A$2:$GZ$32,15,FALSE)</f>
        <v>4264.119576995785</v>
      </c>
      <c r="D36" s="30">
        <v>0.511179</v>
      </c>
      <c r="E36" s="30">
        <v>0.51515607027453</v>
      </c>
    </row>
    <row r="37" spans="1:5" ht="12.75">
      <c r="A37" s="1"/>
      <c r="B37" s="35"/>
      <c r="C37" s="35"/>
      <c r="D37" s="35"/>
      <c r="E37" s="35"/>
    </row>
    <row r="38" spans="1:5" ht="15">
      <c r="A38" s="7" t="s">
        <v>22</v>
      </c>
      <c r="B38" s="36"/>
      <c r="C38" s="36"/>
      <c r="D38" s="36"/>
      <c r="E38" s="36"/>
    </row>
    <row r="39" spans="1:5" ht="12.75">
      <c r="A39" s="2" t="s">
        <v>23</v>
      </c>
      <c r="B39" s="30">
        <f>C39/C$21</f>
        <v>0.9918350780589553</v>
      </c>
      <c r="C39" s="31">
        <f>VLOOKUP($A$6,data!$A$2:$GZ$32,16,FALSE)</f>
        <v>8296.424103647107</v>
      </c>
      <c r="D39" s="30">
        <v>0.9837679</v>
      </c>
      <c r="E39" s="30">
        <v>0.98130132871851</v>
      </c>
    </row>
    <row r="40" spans="1:5" ht="12.75">
      <c r="A40" s="2" t="s">
        <v>24</v>
      </c>
      <c r="B40" s="30">
        <f>C40/C$21</f>
        <v>0.00816492194104472</v>
      </c>
      <c r="C40" s="31">
        <f>VLOOKUP($A$6,data!$A$2:$GZ$32,17,FALSE)</f>
        <v>68.29729729729729</v>
      </c>
      <c r="D40" s="30">
        <v>0.0162321</v>
      </c>
      <c r="E40" s="30">
        <v>0.01869867128148</v>
      </c>
    </row>
    <row r="41" spans="1:5" ht="12.75">
      <c r="A41" s="5"/>
      <c r="D41" s="5"/>
      <c r="E41" s="5"/>
    </row>
    <row r="42" spans="1:5" ht="18.75">
      <c r="A42" s="9" t="s">
        <v>297</v>
      </c>
      <c r="B42" s="6"/>
      <c r="C42" s="6"/>
      <c r="D42" s="6"/>
      <c r="E42" s="6"/>
    </row>
    <row r="43" spans="1:5" ht="12.75">
      <c r="A43" s="1"/>
      <c r="B43" s="1"/>
      <c r="C43" s="1"/>
      <c r="D43" s="1"/>
      <c r="E43" s="1"/>
    </row>
    <row r="44" spans="1:5" ht="15">
      <c r="A44" s="22" t="s">
        <v>0</v>
      </c>
      <c r="B44" s="47" t="str">
        <f>CONCATENATE($A$6," ASG")</f>
        <v>Alness Academy ASG</v>
      </c>
      <c r="C44" s="48"/>
      <c r="D44" s="23" t="s">
        <v>1</v>
      </c>
      <c r="E44" s="23" t="s">
        <v>2</v>
      </c>
    </row>
    <row r="45" spans="1:5" ht="15">
      <c r="A45" s="22" t="s">
        <v>3</v>
      </c>
      <c r="B45" s="22" t="s">
        <v>4</v>
      </c>
      <c r="C45" s="22" t="s">
        <v>5</v>
      </c>
      <c r="D45" s="22" t="s">
        <v>4</v>
      </c>
      <c r="E45" s="22" t="s">
        <v>4</v>
      </c>
    </row>
    <row r="46" spans="1:5" ht="12.75">
      <c r="A46" s="1"/>
      <c r="B46" s="1"/>
      <c r="C46" s="1"/>
      <c r="D46" s="1"/>
      <c r="E46" s="1"/>
    </row>
    <row r="47" spans="1:5" s="13" customFormat="1" ht="15">
      <c r="A47" s="45" t="s">
        <v>409</v>
      </c>
      <c r="B47" s="45"/>
      <c r="C47" s="45"/>
      <c r="D47" s="45"/>
      <c r="E47" s="14"/>
    </row>
    <row r="48" spans="1:5" s="13" customFormat="1" ht="12.75">
      <c r="A48" s="18" t="s">
        <v>356</v>
      </c>
      <c r="B48" s="32">
        <f>C48/C$48</f>
        <v>1</v>
      </c>
      <c r="C48" s="33">
        <f>VLOOKUP($A$6,data!$A$2:$GZ$32,150,FALSE)</f>
        <v>3621.0746268656717</v>
      </c>
      <c r="D48" s="32">
        <v>1</v>
      </c>
      <c r="E48" s="32">
        <v>1</v>
      </c>
    </row>
    <row r="49" spans="1:5" s="13" customFormat="1" ht="12.75">
      <c r="A49" s="17" t="s">
        <v>410</v>
      </c>
      <c r="B49" s="30">
        <f>C49/C$48</f>
        <v>0.968261952143502</v>
      </c>
      <c r="C49" s="31">
        <f>VLOOKUP($A$6,data!$A$2:$GZ$32,151,FALSE)</f>
        <v>3506.148787066258</v>
      </c>
      <c r="D49" s="30">
        <v>0.9161073223259152</v>
      </c>
      <c r="E49" s="30">
        <v>0.9591314214386222</v>
      </c>
    </row>
    <row r="50" spans="1:5" s="13" customFormat="1" ht="12.75">
      <c r="A50" s="17" t="s">
        <v>411</v>
      </c>
      <c r="B50" s="30">
        <f>C50/C$48</f>
        <v>0.03173804785649794</v>
      </c>
      <c r="C50" s="31">
        <f>VLOOKUP($A$6,data!$A$2:$GZ$32,152,FALSE)</f>
        <v>114.92583979941311</v>
      </c>
      <c r="D50" s="30">
        <v>0.0838926776740847</v>
      </c>
      <c r="E50" s="30">
        <v>0.04086857856137785</v>
      </c>
    </row>
    <row r="51" spans="1:5" s="13" customFormat="1" ht="12.75">
      <c r="A51" s="17" t="s">
        <v>412</v>
      </c>
      <c r="B51" s="30">
        <f>C51/C$48</f>
        <v>0.008839066901031733</v>
      </c>
      <c r="C51" s="31">
        <f>VLOOKUP($A$6,data!$A$2:$GZ$32,153,FALSE)</f>
        <v>32.00692088049419</v>
      </c>
      <c r="D51" s="30">
        <v>0.05703517587939696</v>
      </c>
      <c r="E51" s="30">
        <v>0.014811545098571839</v>
      </c>
    </row>
    <row r="52" spans="1:5" s="13" customFormat="1" ht="12.75">
      <c r="A52" s="17" t="s">
        <v>413</v>
      </c>
      <c r="B52" s="30">
        <f>C52/C$48</f>
        <v>0.02289898095546621</v>
      </c>
      <c r="C52" s="31">
        <f>VLOOKUP($A$6,data!$A$2:$GZ$32,154,FALSE)</f>
        <v>82.91891891891892</v>
      </c>
      <c r="D52" s="30">
        <v>0.02685750179468772</v>
      </c>
      <c r="E52" s="30">
        <v>0.026057033462806013</v>
      </c>
    </row>
    <row r="53" spans="1:5" s="13" customFormat="1" ht="12.75">
      <c r="A53" s="19"/>
      <c r="B53" s="20"/>
      <c r="C53" s="21"/>
      <c r="D53" s="20"/>
      <c r="E53" s="14"/>
    </row>
    <row r="54" spans="1:5" s="13" customFormat="1" ht="15">
      <c r="A54" s="45" t="s">
        <v>414</v>
      </c>
      <c r="B54" s="45"/>
      <c r="C54" s="45"/>
      <c r="D54" s="45"/>
      <c r="E54" s="14"/>
    </row>
    <row r="55" spans="1:5" s="13" customFormat="1" ht="12.75">
      <c r="A55" s="18" t="s">
        <v>415</v>
      </c>
      <c r="B55" s="32">
        <f aca="true" t="shared" si="1" ref="B55:B60">C55/C$55</f>
        <v>1</v>
      </c>
      <c r="C55" s="33">
        <f>VLOOKUP($A$6,data!$A$2:$GZ$32,155,FALSE)</f>
        <v>3506.148787066258</v>
      </c>
      <c r="D55" s="32">
        <v>1</v>
      </c>
      <c r="E55" s="32">
        <v>1</v>
      </c>
    </row>
    <row r="56" spans="1:5" s="13" customFormat="1" ht="12.75">
      <c r="A56" s="17" t="s">
        <v>416</v>
      </c>
      <c r="B56" s="30">
        <f t="shared" si="1"/>
        <v>0.351816165347014</v>
      </c>
      <c r="C56" s="31">
        <f>VLOOKUP($A$6,data!$A$2:$GZ$32,156,FALSE)</f>
        <v>1233.5198214017353</v>
      </c>
      <c r="D56" s="30">
        <v>0.42272932227646104</v>
      </c>
      <c r="E56" s="30">
        <v>0.21931006040323928</v>
      </c>
    </row>
    <row r="57" spans="1:5" s="13" customFormat="1" ht="12.75">
      <c r="A57" s="17" t="s">
        <v>417</v>
      </c>
      <c r="B57" s="30">
        <f t="shared" si="1"/>
        <v>0.34126199130824836</v>
      </c>
      <c r="C57" s="31">
        <f>VLOOKUP($A$6,data!$A$2:$GZ$32,157,FALSE)</f>
        <v>1196.5153168972308</v>
      </c>
      <c r="D57" s="30">
        <v>0.285626065988355</v>
      </c>
      <c r="E57" s="30">
        <v>0.2282870511715462</v>
      </c>
    </row>
    <row r="58" spans="1:5" s="13" customFormat="1" ht="12.75">
      <c r="A58" s="17" t="s">
        <v>418</v>
      </c>
      <c r="B58" s="30">
        <f t="shared" si="1"/>
        <v>0.25369351847201116</v>
      </c>
      <c r="C58" s="31">
        <f>VLOOKUP($A$6,data!$A$2:$GZ$32,158,FALSE)</f>
        <v>889.4872220772132</v>
      </c>
      <c r="D58" s="30">
        <v>0.15590386010311907</v>
      </c>
      <c r="E58" s="30">
        <v>0.18637376465170727</v>
      </c>
    </row>
    <row r="59" spans="1:5" s="13" customFormat="1" ht="12.75">
      <c r="A59" s="17" t="s">
        <v>419</v>
      </c>
      <c r="B59" s="30">
        <f t="shared" si="1"/>
        <v>0.05265789842437454</v>
      </c>
      <c r="C59" s="31">
        <f>VLOOKUP($A$6,data!$A$2:$GZ$32,159,FALSE)</f>
        <v>184.626426690079</v>
      </c>
      <c r="D59" s="30">
        <v>0.13178066615695272</v>
      </c>
      <c r="E59" s="30">
        <v>0.3644372344391236</v>
      </c>
    </row>
    <row r="60" spans="1:5" s="13" customFormat="1" ht="12.75">
      <c r="A60" s="17" t="s">
        <v>420</v>
      </c>
      <c r="B60" s="30">
        <f t="shared" si="1"/>
        <v>0.0005704264483520347</v>
      </c>
      <c r="C60" s="31">
        <f>VLOOKUP($A$6,data!$A$2:$GZ$32,160,FALSE)</f>
        <v>2</v>
      </c>
      <c r="D60" s="30">
        <v>0.0039600854751122355</v>
      </c>
      <c r="E60" s="30">
        <v>0.0015918893343836288</v>
      </c>
    </row>
    <row r="61" spans="1:5" s="5" customFormat="1" ht="12.75">
      <c r="A61" s="1"/>
      <c r="B61" s="1"/>
      <c r="C61" s="1"/>
      <c r="D61" s="1"/>
      <c r="E61" s="1"/>
    </row>
    <row r="62" spans="1:5" ht="15">
      <c r="A62" s="7" t="s">
        <v>27</v>
      </c>
      <c r="B62" s="7"/>
      <c r="C62" s="7"/>
      <c r="D62" s="7"/>
      <c r="E62" s="7"/>
    </row>
    <row r="63" spans="1:5" ht="12.75">
      <c r="A63" s="3" t="s">
        <v>28</v>
      </c>
      <c r="B63" s="32">
        <f>C63/C$63</f>
        <v>1</v>
      </c>
      <c r="C63" s="33">
        <f>VLOOKUP($A$6,data!$A$2:$GZ$32,18,FALSE)</f>
        <v>3506.148787066258</v>
      </c>
      <c r="D63" s="32">
        <v>1</v>
      </c>
      <c r="E63" s="32">
        <v>1</v>
      </c>
    </row>
    <row r="64" spans="1:5" ht="12.75">
      <c r="A64" s="2" t="s">
        <v>25</v>
      </c>
      <c r="B64" s="30" t="s">
        <v>155</v>
      </c>
      <c r="C64" s="39">
        <f>C39/C63</f>
        <v>2.366249867732816</v>
      </c>
      <c r="D64" s="39">
        <v>2.2368671087559133</v>
      </c>
      <c r="E64" s="39">
        <v>2.1900018417238534</v>
      </c>
    </row>
    <row r="65" spans="1:5" ht="12.75">
      <c r="A65" s="2" t="s">
        <v>29</v>
      </c>
      <c r="B65" s="30">
        <f aca="true" t="shared" si="2" ref="B65:B70">C65/C$63</f>
        <v>0.27736053568173</v>
      </c>
      <c r="C65" s="31">
        <f>VLOOKUP($A$6,data!$A$2:$GZ$32,19,FALSE)</f>
        <v>972.4673057605453</v>
      </c>
      <c r="D65" s="30">
        <v>0.3171484</v>
      </c>
      <c r="E65" s="30">
        <v>0.3469833026871</v>
      </c>
    </row>
    <row r="66" spans="1:5" ht="12.75">
      <c r="A66" s="2" t="s">
        <v>30</v>
      </c>
      <c r="B66" s="30">
        <f t="shared" si="2"/>
        <v>0.36028845475010624</v>
      </c>
      <c r="C66" s="31">
        <f>VLOOKUP($A$6,data!$A$2:$GZ$32,20,FALSE)</f>
        <v>1263.2249286160613</v>
      </c>
      <c r="D66" s="30">
        <v>0.3669275</v>
      </c>
      <c r="E66" s="30">
        <v>0.34038512679446</v>
      </c>
    </row>
    <row r="67" spans="1:5" ht="12.75">
      <c r="A67" s="2" t="s">
        <v>31</v>
      </c>
      <c r="B67" s="30">
        <f t="shared" si="2"/>
        <v>0.16772399727543982</v>
      </c>
      <c r="C67" s="31">
        <f>VLOOKUP($A$6,data!$A$2:$GZ$32,21,FALSE)</f>
        <v>588.0652896091877</v>
      </c>
      <c r="D67" s="30">
        <v>0.1482501</v>
      </c>
      <c r="E67" s="30">
        <v>0.15066354739615</v>
      </c>
    </row>
    <row r="68" spans="1:5" ht="12.75">
      <c r="A68" s="2" t="s">
        <v>32</v>
      </c>
      <c r="B68" s="30">
        <f t="shared" si="2"/>
        <v>0.13064838177437665</v>
      </c>
      <c r="C68" s="31">
        <f>VLOOKUP($A$6,data!$A$2:$GZ$32,22,FALSE)</f>
        <v>458.07266529040015</v>
      </c>
      <c r="D68" s="30">
        <v>0.1149954</v>
      </c>
      <c r="E68" s="30">
        <v>0.11477226894899</v>
      </c>
    </row>
    <row r="69" spans="1:5" ht="12.75">
      <c r="A69" s="2" t="s">
        <v>33</v>
      </c>
      <c r="B69" s="30">
        <f t="shared" si="2"/>
        <v>0.0472888157079713</v>
      </c>
      <c r="C69" s="31">
        <f>VLOOKUP($A$6,data!$A$2:$GZ$32,23,FALSE)</f>
        <v>165.80162383630338</v>
      </c>
      <c r="D69" s="30">
        <v>0.039788</v>
      </c>
      <c r="E69" s="30">
        <v>0.03654873593262</v>
      </c>
    </row>
    <row r="70" spans="1:5" ht="12.75">
      <c r="A70" s="2" t="s">
        <v>34</v>
      </c>
      <c r="B70" s="30">
        <f t="shared" si="2"/>
        <v>0.016689814810376093</v>
      </c>
      <c r="C70" s="31">
        <f>VLOOKUP($A$6,data!$A$2:$GZ$32,24,FALSE)</f>
        <v>58.51697395376061</v>
      </c>
      <c r="D70" s="30">
        <v>0.0128905</v>
      </c>
      <c r="E70" s="30">
        <v>0.01064701824065</v>
      </c>
    </row>
    <row r="71" spans="1:5" ht="12.75">
      <c r="A71" s="1"/>
      <c r="B71" s="1"/>
      <c r="C71" s="1"/>
      <c r="D71" s="1"/>
      <c r="E71" s="1"/>
    </row>
    <row r="72" spans="1:5" ht="15">
      <c r="A72" s="7" t="s">
        <v>35</v>
      </c>
      <c r="B72" s="7"/>
      <c r="C72" s="7"/>
      <c r="D72" s="7"/>
      <c r="E72" s="7"/>
    </row>
    <row r="73" spans="1:5" ht="12.75">
      <c r="A73" s="2" t="s">
        <v>36</v>
      </c>
      <c r="B73" s="30">
        <f aca="true" t="shared" si="3" ref="B73:B78">C73/C$63</f>
        <v>0.5826452166788861</v>
      </c>
      <c r="C73" s="31">
        <f>VLOOKUP($A$6,data!$A$2:$GZ$32,25,FALSE)</f>
        <v>2042.8408197486337</v>
      </c>
      <c r="D73" s="30">
        <v>0.6719495352185797</v>
      </c>
      <c r="E73" s="30">
        <v>0.619942792769822</v>
      </c>
    </row>
    <row r="74" spans="1:5" ht="12.75">
      <c r="A74" s="2" t="s">
        <v>37</v>
      </c>
      <c r="B74" s="30">
        <f t="shared" si="3"/>
        <v>0.2870195159419786</v>
      </c>
      <c r="C74" s="31">
        <f>VLOOKUP($A$6,data!$A$2:$GZ$32,26,FALSE)</f>
        <v>1006.3331276843129</v>
      </c>
      <c r="D74" s="30">
        <v>0.13177459325503718</v>
      </c>
      <c r="E74" s="30">
        <v>0.1318054751879338</v>
      </c>
    </row>
    <row r="75" spans="1:5" ht="12.75">
      <c r="A75" s="2" t="s">
        <v>38</v>
      </c>
      <c r="B75" s="30">
        <f t="shared" si="3"/>
        <v>0.0356573289070604</v>
      </c>
      <c r="C75" s="31">
        <f>VLOOKUP($A$6,data!$A$2:$GZ$32,27,FALSE)</f>
        <v>125.01990049751244</v>
      </c>
      <c r="D75" s="30">
        <v>0.057448746706369805</v>
      </c>
      <c r="E75" s="30">
        <v>0.11112464424596159</v>
      </c>
    </row>
    <row r="76" spans="1:5" ht="12.75">
      <c r="A76" s="2" t="s">
        <v>39</v>
      </c>
      <c r="B76" s="30">
        <f t="shared" si="3"/>
        <v>0.0633638606539989</v>
      </c>
      <c r="C76" s="31">
        <f>VLOOKUP($A$6,data!$A$2:$GZ$32,28,FALSE)</f>
        <v>222.16312317585366</v>
      </c>
      <c r="D76" s="30">
        <v>0.09872564672693968</v>
      </c>
      <c r="E76" s="30">
        <v>0.11103403311815649</v>
      </c>
    </row>
    <row r="77" spans="1:5" ht="12.75">
      <c r="A77" s="2" t="s">
        <v>40</v>
      </c>
      <c r="B77" s="30">
        <f t="shared" si="3"/>
        <v>0.02090869498555069</v>
      </c>
      <c r="C77" s="31">
        <f>VLOOKUP($A$6,data!$A$2:$GZ$32,29,FALSE)</f>
        <v>73.3089955627269</v>
      </c>
      <c r="D77" s="30">
        <v>0.023312534895338473</v>
      </c>
      <c r="E77" s="30">
        <v>0.012845707793020583</v>
      </c>
    </row>
    <row r="78" spans="1:5" s="5" customFormat="1" ht="12.75">
      <c r="A78" s="2" t="s">
        <v>305</v>
      </c>
      <c r="B78" s="30">
        <f t="shared" si="3"/>
        <v>0.010405382832525215</v>
      </c>
      <c r="C78" s="31">
        <f>C63-SUM(C73:C77)</f>
        <v>36.48282039721835</v>
      </c>
      <c r="D78" s="30">
        <v>0.01678894319773521</v>
      </c>
      <c r="E78" s="30">
        <v>0.013247346885105512</v>
      </c>
    </row>
    <row r="79" spans="1:5" ht="12.75">
      <c r="A79" s="1"/>
      <c r="B79" s="1"/>
      <c r="C79" s="1"/>
      <c r="D79" s="1"/>
      <c r="E79" s="1"/>
    </row>
    <row r="80" spans="1:5" s="15" customFormat="1" ht="15">
      <c r="A80" s="45" t="s">
        <v>421</v>
      </c>
      <c r="B80" s="45"/>
      <c r="C80" s="45"/>
      <c r="D80" s="45"/>
      <c r="E80" s="16"/>
    </row>
    <row r="81" spans="1:5" s="15" customFormat="1" ht="12.75">
      <c r="A81" s="25" t="s">
        <v>422</v>
      </c>
      <c r="B81" s="30">
        <f>C81/C$63</f>
        <v>0.11273060186478316</v>
      </c>
      <c r="C81" s="31">
        <f>VLOOKUP($A$6,data!$A$2:$GZ$32,161,FALSE)</f>
        <v>395.25026299345876</v>
      </c>
      <c r="D81" s="30">
        <v>0.13470335289104818</v>
      </c>
      <c r="E81" s="30">
        <v>0.13143544462880413</v>
      </c>
    </row>
    <row r="82" spans="1:5" s="15" customFormat="1" ht="12.75">
      <c r="A82" s="25" t="s">
        <v>423</v>
      </c>
      <c r="B82" s="30">
        <f aca="true" t="shared" si="4" ref="B82:B95">C82/C$63</f>
        <v>0.1646299338169469</v>
      </c>
      <c r="C82" s="31">
        <f>VLOOKUP($A$6,data!$A$2:$GZ$32,162,FALSE)</f>
        <v>577.2170427670867</v>
      </c>
      <c r="D82" s="30">
        <v>0.1824450735128464</v>
      </c>
      <c r="E82" s="30">
        <v>0.21554785805830046</v>
      </c>
    </row>
    <row r="83" spans="1:5" s="15" customFormat="1" ht="12.75">
      <c r="A83" s="25" t="s">
        <v>424</v>
      </c>
      <c r="B83" s="30">
        <f t="shared" si="4"/>
        <v>0.0712868998937317</v>
      </c>
      <c r="C83" s="31">
        <f>VLOOKUP($A$6,data!$A$2:$GZ$32,163,FALSE)</f>
        <v>249.94247759612117</v>
      </c>
      <c r="D83" s="30">
        <v>0.08571764406264999</v>
      </c>
      <c r="E83" s="30">
        <v>0.07542723146760104</v>
      </c>
    </row>
    <row r="84" spans="1:5" s="15" customFormat="1" ht="12.75">
      <c r="A84" s="25" t="s">
        <v>425</v>
      </c>
      <c r="B84" s="30">
        <f t="shared" si="4"/>
        <v>0.14722218722418956</v>
      </c>
      <c r="C84" s="31">
        <f>VLOOKUP($A$6,data!$A$2:$GZ$32,164,FALSE)</f>
        <v>516.1828931653338</v>
      </c>
      <c r="D84" s="30">
        <v>0.15233468180348902</v>
      </c>
      <c r="E84" s="30">
        <v>0.125337526451074</v>
      </c>
    </row>
    <row r="85" spans="1:5" s="15" customFormat="1" ht="25.5">
      <c r="A85" s="25" t="s">
        <v>426</v>
      </c>
      <c r="B85" s="30">
        <f t="shared" si="4"/>
        <v>0.1449333448400097</v>
      </c>
      <c r="C85" s="31">
        <f>VLOOKUP($A$6,data!$A$2:$GZ$32,165,FALSE)</f>
        <v>508.1578712162557</v>
      </c>
      <c r="D85" s="30">
        <v>0.14193219774514892</v>
      </c>
      <c r="E85" s="30">
        <v>0.13565792318452177</v>
      </c>
    </row>
    <row r="86" spans="1:5" s="15" customFormat="1" ht="25.5">
      <c r="A86" s="25" t="s">
        <v>427</v>
      </c>
      <c r="B86" s="30">
        <f t="shared" si="4"/>
        <v>0.06105197295828788</v>
      </c>
      <c r="C86" s="31">
        <f>VLOOKUP($A$6,data!$A$2:$GZ$32,166,FALSE)</f>
        <v>214.05730093570304</v>
      </c>
      <c r="D86" s="30">
        <v>0.05645943325072729</v>
      </c>
      <c r="E86" s="30">
        <v>0.058653215198899857</v>
      </c>
    </row>
    <row r="87" spans="1:5" s="15" customFormat="1" ht="12.75">
      <c r="A87" s="25" t="s">
        <v>428</v>
      </c>
      <c r="B87" s="30">
        <f t="shared" si="4"/>
        <v>0.049123123696722</v>
      </c>
      <c r="C87" s="31">
        <f>VLOOKUP($A$6,data!$A$2:$GZ$32,167,FALSE)</f>
        <v>172.23298056616758</v>
      </c>
      <c r="D87" s="30">
        <v>0.05114064902880765</v>
      </c>
      <c r="E87" s="30">
        <v>0.04957777321678354</v>
      </c>
    </row>
    <row r="88" spans="1:5" s="15" customFormat="1" ht="12.75">
      <c r="A88" s="25" t="s">
        <v>429</v>
      </c>
      <c r="B88" s="30">
        <f t="shared" si="4"/>
        <v>0.05828621861833099</v>
      </c>
      <c r="C88" s="31">
        <f>VLOOKUP($A$6,data!$A$2:$GZ$32,168,FALSE)</f>
        <v>204.36015471133996</v>
      </c>
      <c r="D88" s="30">
        <v>0.04291269553633523</v>
      </c>
      <c r="E88" s="30">
        <v>0.03693857450573737</v>
      </c>
    </row>
    <row r="89" spans="1:5" s="15" customFormat="1" ht="12.75">
      <c r="A89" s="25" t="s">
        <v>430</v>
      </c>
      <c r="B89" s="30">
        <f t="shared" si="4"/>
        <v>0.0056914937421393315</v>
      </c>
      <c r="C89" s="31">
        <f>VLOOKUP($A$6,data!$A$2:$GZ$32,169,FALSE)</f>
        <v>19.955223880597014</v>
      </c>
      <c r="D89" s="30">
        <v>0.005436326414669264</v>
      </c>
      <c r="E89" s="30">
        <v>0.005030814105160325</v>
      </c>
    </row>
    <row r="90" spans="1:5" s="15" customFormat="1" ht="12.75">
      <c r="A90" s="25" t="s">
        <v>431</v>
      </c>
      <c r="B90" s="30">
        <f t="shared" si="4"/>
        <v>0.09192953889513596</v>
      </c>
      <c r="C90" s="31">
        <f>VLOOKUP($A$6,data!$A$2:$GZ$32,170,FALSE)</f>
        <v>322.31864129274135</v>
      </c>
      <c r="D90" s="30">
        <v>0.06151374753896032</v>
      </c>
      <c r="E90" s="30">
        <v>0.07164685092615108</v>
      </c>
    </row>
    <row r="91" spans="1:5" s="15" customFormat="1" ht="12.75">
      <c r="A91" s="25" t="s">
        <v>432</v>
      </c>
      <c r="B91" s="30">
        <f t="shared" si="4"/>
        <v>0.04088111708727115</v>
      </c>
      <c r="C91" s="31">
        <f>VLOOKUP($A$6,data!$A$2:$GZ$32,171,FALSE)</f>
        <v>143.33527908944941</v>
      </c>
      <c r="D91" s="30">
        <v>0.03497859752573685</v>
      </c>
      <c r="E91" s="30">
        <v>0.03934545892850445</v>
      </c>
    </row>
    <row r="92" spans="1:5" s="15" customFormat="1" ht="12.75">
      <c r="A92" s="25" t="s">
        <v>433</v>
      </c>
      <c r="B92" s="30">
        <f t="shared" si="4"/>
        <v>0.01755619264382512</v>
      </c>
      <c r="C92" s="31">
        <f>VLOOKUP($A$6,data!$A$2:$GZ$32,172,FALSE)</f>
        <v>61.55462354364901</v>
      </c>
      <c r="D92" s="30">
        <v>0.015486183894760556</v>
      </c>
      <c r="E92" s="30">
        <v>0.015574156357719247</v>
      </c>
    </row>
    <row r="93" spans="1:5" s="15" customFormat="1" ht="12.75">
      <c r="A93" s="25" t="s">
        <v>434</v>
      </c>
      <c r="B93" s="30">
        <f t="shared" si="4"/>
        <v>0.00028521322417601736</v>
      </c>
      <c r="C93" s="31">
        <f>VLOOKUP($A$6,data!$A$2:$GZ$32,173,FALSE)</f>
        <v>1</v>
      </c>
      <c r="D93" s="30">
        <v>0.000626891694664564</v>
      </c>
      <c r="E93" s="30">
        <v>0.008820045035837755</v>
      </c>
    </row>
    <row r="94" spans="1:5" s="15" customFormat="1" ht="12.75">
      <c r="A94" s="25" t="s">
        <v>435</v>
      </c>
      <c r="B94" s="30">
        <f t="shared" si="4"/>
        <v>0.0028521322417601734</v>
      </c>
      <c r="C94" s="31">
        <f>VLOOKUP($A$6,data!$A$2:$GZ$32,174,FALSE)</f>
        <v>10</v>
      </c>
      <c r="D94" s="30">
        <v>0.003506675417029905</v>
      </c>
      <c r="E94" s="30">
        <v>0.0023592608997811426</v>
      </c>
    </row>
    <row r="95" spans="1:5" s="15" customFormat="1" ht="12.75">
      <c r="A95" s="25" t="s">
        <v>436</v>
      </c>
      <c r="B95" s="30">
        <f t="shared" si="4"/>
        <v>0.03154002925269044</v>
      </c>
      <c r="C95" s="31">
        <f>VLOOKUP($A$6,data!$A$2:$GZ$32,175,FALSE)</f>
        <v>110.58403530835488</v>
      </c>
      <c r="D95" s="30">
        <v>0.030805849683125844</v>
      </c>
      <c r="E95" s="30">
        <v>0.028647867035123824</v>
      </c>
    </row>
    <row r="96" spans="1:5" s="15" customFormat="1" ht="12.75">
      <c r="A96" s="19"/>
      <c r="B96" s="20"/>
      <c r="C96" s="21"/>
      <c r="D96" s="20"/>
      <c r="E96" s="16"/>
    </row>
    <row r="97" spans="1:5" s="15" customFormat="1" ht="15">
      <c r="A97" s="45" t="s">
        <v>437</v>
      </c>
      <c r="B97" s="45"/>
      <c r="C97" s="45"/>
      <c r="D97" s="45"/>
      <c r="E97" s="16"/>
    </row>
    <row r="98" spans="1:5" s="15" customFormat="1" ht="12.75">
      <c r="A98" s="28" t="s">
        <v>28</v>
      </c>
      <c r="B98" s="32">
        <f>C98/C$98</f>
        <v>1</v>
      </c>
      <c r="C98" s="33">
        <f>VLOOKUP($A$6,data!$A$2:$GZ$32,176,FALSE)</f>
        <v>3506.148787066258</v>
      </c>
      <c r="D98" s="32">
        <v>1</v>
      </c>
      <c r="E98" s="32">
        <v>1</v>
      </c>
    </row>
    <row r="99" spans="1:5" s="15" customFormat="1" ht="12.75">
      <c r="A99" s="25" t="s">
        <v>438</v>
      </c>
      <c r="B99" s="30">
        <f aca="true" t="shared" si="5" ref="B99:B106">C99/C$98</f>
        <v>0.055876250455737374</v>
      </c>
      <c r="C99" s="31">
        <f>VLOOKUP($A$6,data!$A$2:$GZ$32,177,FALSE)</f>
        <v>195.91044776119404</v>
      </c>
      <c r="D99" s="30">
        <v>0.029738174765650254</v>
      </c>
      <c r="E99" s="30">
        <v>0.03925864082465398</v>
      </c>
    </row>
    <row r="100" spans="1:5" s="15" customFormat="1" ht="12.75">
      <c r="A100" s="25" t="s">
        <v>439</v>
      </c>
      <c r="B100" s="30">
        <f t="shared" si="5"/>
        <v>0.31270529499730176</v>
      </c>
      <c r="C100" s="31">
        <f>VLOOKUP($A$6,data!$A$2:$GZ$32,178,FALSE)</f>
        <v>1096.391290763986</v>
      </c>
      <c r="D100" s="30">
        <v>0.26184482471520504</v>
      </c>
      <c r="E100" s="30">
        <v>0.2598175049741295</v>
      </c>
    </row>
    <row r="101" spans="1:5" s="15" customFormat="1" ht="12.75">
      <c r="A101" s="25" t="s">
        <v>440</v>
      </c>
      <c r="B101" s="30">
        <f t="shared" si="5"/>
        <v>0.12411422326150275</v>
      </c>
      <c r="C101" s="31">
        <f>VLOOKUP($A$6,data!$A$2:$GZ$32,179,FALSE)</f>
        <v>435.1629333459886</v>
      </c>
      <c r="D101" s="30">
        <v>0.09901950220881371</v>
      </c>
      <c r="E101" s="30">
        <v>0.09992637319056953</v>
      </c>
    </row>
    <row r="102" spans="1:5" s="15" customFormat="1" ht="25.5">
      <c r="A102" s="25" t="s">
        <v>441</v>
      </c>
      <c r="B102" s="30">
        <f t="shared" si="5"/>
        <v>0.07673093768046271</v>
      </c>
      <c r="C102" s="31">
        <f>VLOOKUP($A$6,data!$A$2:$GZ$32,180,FALSE)</f>
        <v>269.030084078811</v>
      </c>
      <c r="D102" s="30">
        <v>0.056410457337081624</v>
      </c>
      <c r="E102" s="30">
        <v>0.05724558186462529</v>
      </c>
    </row>
    <row r="103" spans="1:5" s="15" customFormat="1" ht="12.75">
      <c r="A103" s="25" t="s">
        <v>442</v>
      </c>
      <c r="B103" s="30">
        <f t="shared" si="5"/>
        <v>0.09135911244678392</v>
      </c>
      <c r="C103" s="31">
        <f>VLOOKUP($A$6,data!$A$2:$GZ$32,181,FALSE)</f>
        <v>320.31864129274135</v>
      </c>
      <c r="D103" s="30">
        <v>0.06132763906710678</v>
      </c>
      <c r="E103" s="30">
        <v>0.07152252402986037</v>
      </c>
    </row>
    <row r="104" spans="1:5" s="15" customFormat="1" ht="12.75">
      <c r="A104" s="25" t="s">
        <v>443</v>
      </c>
      <c r="B104" s="30">
        <f t="shared" si="5"/>
        <v>0.03403137959075132</v>
      </c>
      <c r="C104" s="31">
        <f>VLOOKUP($A$6,data!$A$2:$GZ$32,182,FALSE)</f>
        <v>119.31908027430416</v>
      </c>
      <c r="D104" s="30">
        <v>0.024321438716439252</v>
      </c>
      <c r="E104" s="30">
        <v>0.024805533769081546</v>
      </c>
    </row>
    <row r="105" spans="1:5" s="15" customFormat="1" ht="12.75">
      <c r="A105" s="25" t="s">
        <v>444</v>
      </c>
      <c r="B105" s="30">
        <f t="shared" si="5"/>
        <v>0.015426930384920096</v>
      </c>
      <c r="C105" s="31">
        <f>VLOOKUP($A$6,data!$A$2:$GZ$32,183,FALSE)</f>
        <v>54.0891132572432</v>
      </c>
      <c r="D105" s="30">
        <v>0.015319665788365282</v>
      </c>
      <c r="E105" s="30">
        <v>0.01672470695729097</v>
      </c>
    </row>
    <row r="106" spans="1:5" s="15" customFormat="1" ht="12.75">
      <c r="A106" s="25" t="s">
        <v>445</v>
      </c>
      <c r="B106" s="30">
        <f t="shared" si="5"/>
        <v>0.04190080247111252</v>
      </c>
      <c r="C106" s="31">
        <f>VLOOKUP($A$6,data!$A$2:$GZ$32,184,FALSE)</f>
        <v>146.91044776119404</v>
      </c>
      <c r="D106" s="30">
        <v>0.02168653456230226</v>
      </c>
      <c r="E106" s="30">
        <v>0.029992283303487854</v>
      </c>
    </row>
    <row r="107" spans="1:5" s="15" customFormat="1" ht="12.75">
      <c r="A107" s="14"/>
      <c r="B107" s="14"/>
      <c r="C107" s="14"/>
      <c r="D107" s="14"/>
      <c r="E107" s="16"/>
    </row>
    <row r="108" spans="1:5" s="15" customFormat="1" ht="15">
      <c r="A108" s="45" t="s">
        <v>446</v>
      </c>
      <c r="B108" s="45"/>
      <c r="C108" s="45"/>
      <c r="D108" s="45"/>
      <c r="E108" s="16"/>
    </row>
    <row r="109" spans="1:5" s="15" customFormat="1" ht="12.75">
      <c r="A109" s="25" t="s">
        <v>447</v>
      </c>
      <c r="B109" s="30">
        <f>C109/C$98</f>
        <v>0.060500302196889</v>
      </c>
      <c r="C109" s="31">
        <f>VLOOKUP($A$6,data!$A$2:$GZ$32,185,FALSE)</f>
        <v>212.12306116476444</v>
      </c>
      <c r="D109" s="30">
        <v>0.05789932511190996</v>
      </c>
      <c r="E109" s="30">
        <v>0.054851340855040315</v>
      </c>
    </row>
    <row r="110" spans="1:5" s="15" customFormat="1" ht="12.75">
      <c r="A110" s="25" t="s">
        <v>448</v>
      </c>
      <c r="B110" s="30">
        <f>C110/C$98</f>
        <v>0.05223029966789418</v>
      </c>
      <c r="C110" s="31">
        <f>VLOOKUP($A$6,data!$A$2:$GZ$32,186,FALSE)</f>
        <v>183.12720182869435</v>
      </c>
      <c r="D110" s="30">
        <v>0.07680402777913822</v>
      </c>
      <c r="E110" s="30">
        <v>0.07658410377376382</v>
      </c>
    </row>
    <row r="111" spans="1:5" s="15" customFormat="1" ht="12.75">
      <c r="A111" s="25" t="s">
        <v>449</v>
      </c>
      <c r="B111" s="30">
        <f>C111/C$98</f>
        <v>0.07249228665606305</v>
      </c>
      <c r="C111" s="31">
        <f>VLOOKUP($A$6,data!$A$2:$GZ$32,187,FALSE)</f>
        <v>254.16874293081494</v>
      </c>
      <c r="D111" s="30">
        <v>0.09677640536384206</v>
      </c>
      <c r="E111" s="30">
        <v>0.08259604674185564</v>
      </c>
    </row>
    <row r="112" spans="1:5" s="15" customFormat="1" ht="12.75">
      <c r="A112" s="19"/>
      <c r="B112" s="20"/>
      <c r="C112" s="21"/>
      <c r="D112" s="20"/>
      <c r="E112" s="16"/>
    </row>
    <row r="113" spans="1:5" s="15" customFormat="1" ht="15">
      <c r="A113" s="45" t="s">
        <v>450</v>
      </c>
      <c r="B113" s="45"/>
      <c r="C113" s="45"/>
      <c r="D113" s="45"/>
      <c r="E113" s="16"/>
    </row>
    <row r="114" spans="1:5" s="15" customFormat="1" ht="12.75">
      <c r="A114" s="28" t="s">
        <v>393</v>
      </c>
      <c r="B114" s="32">
        <f>C114/C$114</f>
        <v>1</v>
      </c>
      <c r="C114" s="33">
        <f>VLOOKUP($A$6,data!$A$2:$GZ$32,188,FALSE)</f>
        <v>858.3194599340342</v>
      </c>
      <c r="D114" s="32">
        <v>1</v>
      </c>
      <c r="E114" s="32">
        <v>1</v>
      </c>
    </row>
    <row r="115" spans="1:5" s="15" customFormat="1" ht="12.75">
      <c r="A115" s="25" t="s">
        <v>451</v>
      </c>
      <c r="B115" s="30">
        <f aca="true" t="shared" si="6" ref="B115:B120">C115/C$114</f>
        <v>0.635603050526772</v>
      </c>
      <c r="C115" s="31">
        <f>VLOOKUP($A$6,data!$A$2:$GZ$32,189,FALSE)</f>
        <v>545.5504670605636</v>
      </c>
      <c r="D115" s="30">
        <v>0.7482207647222995</v>
      </c>
      <c r="E115" s="30">
        <v>0.6814416738792045</v>
      </c>
    </row>
    <row r="116" spans="1:5" s="15" customFormat="1" ht="12.75">
      <c r="A116" s="25" t="s">
        <v>452</v>
      </c>
      <c r="B116" s="30">
        <f t="shared" si="6"/>
        <v>0.0011650673748872648</v>
      </c>
      <c r="C116" s="31">
        <f>VLOOKUP($A$6,data!$A$2:$GZ$32,190,FALSE)</f>
        <v>1</v>
      </c>
      <c r="D116" s="30">
        <v>0.0033840357242534186</v>
      </c>
      <c r="E116" s="30">
        <v>0.003679217031023237</v>
      </c>
    </row>
    <row r="117" spans="1:5" s="15" customFormat="1" ht="12.75">
      <c r="A117" s="25" t="s">
        <v>453</v>
      </c>
      <c r="B117" s="30">
        <f t="shared" si="6"/>
        <v>0.25981002459986</v>
      </c>
      <c r="C117" s="31">
        <f>VLOOKUP($A$6,data!$A$2:$GZ$32,191,FALSE)</f>
        <v>223</v>
      </c>
      <c r="D117" s="30">
        <v>0.1303028188668713</v>
      </c>
      <c r="E117" s="30">
        <v>0.1487548910879359</v>
      </c>
    </row>
    <row r="118" spans="1:5" s="15" customFormat="1" ht="12.75">
      <c r="A118" s="25" t="s">
        <v>454</v>
      </c>
      <c r="B118" s="30">
        <f t="shared" si="6"/>
        <v>0.03883557916290882</v>
      </c>
      <c r="C118" s="31">
        <f>VLOOKUP($A$6,data!$A$2:$GZ$32,192,FALSE)</f>
        <v>33.33333333333333</v>
      </c>
      <c r="D118" s="30">
        <v>0.04367848171922969</v>
      </c>
      <c r="E118" s="30">
        <v>0.10993882232146089</v>
      </c>
    </row>
    <row r="119" spans="1:5" s="15" customFormat="1" ht="12.75">
      <c r="A119" s="25" t="s">
        <v>455</v>
      </c>
      <c r="B119" s="30">
        <f t="shared" si="6"/>
        <v>0.0320480473420482</v>
      </c>
      <c r="C119" s="31">
        <f>VLOOKUP($A$6,data!$A$2:$GZ$32,193,FALSE)</f>
        <v>27.507462686567166</v>
      </c>
      <c r="D119" s="30">
        <v>0.0445157689087357</v>
      </c>
      <c r="E119" s="30">
        <v>0.035701239678940594</v>
      </c>
    </row>
    <row r="120" spans="1:5" s="15" customFormat="1" ht="12.75">
      <c r="A120" s="25" t="s">
        <v>456</v>
      </c>
      <c r="B120" s="30">
        <f t="shared" si="6"/>
        <v>0.03253823099352355</v>
      </c>
      <c r="C120" s="31">
        <f>VLOOKUP($A$6,data!$A$2:$GZ$32,194,FALSE)</f>
        <v>27.928196853569986</v>
      </c>
      <c r="D120" s="30">
        <v>0.029898130058610094</v>
      </c>
      <c r="E120" s="30">
        <v>0.020484156001434828</v>
      </c>
    </row>
    <row r="121" spans="1:5" s="15" customFormat="1" ht="12.75">
      <c r="A121" s="16"/>
      <c r="B121" s="16"/>
      <c r="C121" s="16"/>
      <c r="D121" s="16"/>
      <c r="E121" s="16"/>
    </row>
    <row r="122" spans="1:5" ht="15">
      <c r="A122" s="7" t="s">
        <v>41</v>
      </c>
      <c r="B122" s="7"/>
      <c r="C122" s="7"/>
      <c r="D122" s="7"/>
      <c r="E122" s="7"/>
    </row>
    <row r="123" spans="1:5" ht="12.75">
      <c r="A123" s="2" t="s">
        <v>26</v>
      </c>
      <c r="B123" s="30" t="s">
        <v>155</v>
      </c>
      <c r="C123" s="39">
        <f>VLOOKUP($A$6,data!$A$2:$GZ$32,30,FALSE)/C63</f>
        <v>1.1769526017464154</v>
      </c>
      <c r="D123" s="39">
        <v>1.2293835891508555</v>
      </c>
      <c r="E123" s="39">
        <v>1.0432400516356994</v>
      </c>
    </row>
    <row r="124" spans="1:5" ht="12.75">
      <c r="A124" s="2" t="s">
        <v>42</v>
      </c>
      <c r="B124" s="30">
        <f>C124/C$63</f>
        <v>0.2302835606527931</v>
      </c>
      <c r="C124" s="31">
        <f>VLOOKUP($A$6,data!$A$2:$GZ$32,31,FALSE)</f>
        <v>807.4084268640896</v>
      </c>
      <c r="D124" s="30">
        <v>0.2063355</v>
      </c>
      <c r="E124" s="30">
        <v>0.30518839317812</v>
      </c>
    </row>
    <row r="125" spans="1:5" ht="12.75">
      <c r="A125" s="2" t="s">
        <v>43</v>
      </c>
      <c r="B125" s="30">
        <f>C125/C$63</f>
        <v>0.45512537778558976</v>
      </c>
      <c r="C125" s="31">
        <f>VLOOKUP($A$6,data!$A$2:$GZ$32,32,FALSE)</f>
        <v>1595.737291286018</v>
      </c>
      <c r="D125" s="30">
        <v>0.4630575</v>
      </c>
      <c r="E125" s="30">
        <v>0.42243497808685</v>
      </c>
    </row>
    <row r="126" spans="1:5" ht="12.75">
      <c r="A126" s="2" t="s">
        <v>44</v>
      </c>
      <c r="B126" s="30">
        <f>C126/C$63</f>
        <v>0.24764784138094018</v>
      </c>
      <c r="C126" s="31">
        <f>VLOOKUP($A$6,data!$A$2:$GZ$32,33,FALSE)</f>
        <v>868.2901786773605</v>
      </c>
      <c r="D126" s="30">
        <v>0.2555465</v>
      </c>
      <c r="E126" s="30">
        <v>0.21613324808863</v>
      </c>
    </row>
    <row r="127" spans="1:5" ht="12.75">
      <c r="A127" s="2" t="s">
        <v>45</v>
      </c>
      <c r="B127" s="30">
        <f>C127/C$63</f>
        <v>0.06694322018067701</v>
      </c>
      <c r="C127" s="31">
        <f>VLOOKUP($A$6,data!$A$2:$GZ$32,34,FALSE)</f>
        <v>234.71289023879015</v>
      </c>
      <c r="D127" s="30">
        <v>0.0750605</v>
      </c>
      <c r="E127" s="30">
        <v>0.05624338064639</v>
      </c>
    </row>
    <row r="128" spans="1:5" ht="12.75">
      <c r="A128" s="5"/>
      <c r="D128" s="5"/>
      <c r="E128" s="5"/>
    </row>
    <row r="129" spans="1:4" s="24" customFormat="1" ht="15">
      <c r="A129" s="46" t="s">
        <v>457</v>
      </c>
      <c r="B129" s="46"/>
      <c r="C129" s="46"/>
      <c r="D129" s="46"/>
    </row>
    <row r="130" spans="1:5" s="24" customFormat="1" ht="12.75">
      <c r="A130" s="28" t="s">
        <v>470</v>
      </c>
      <c r="B130" s="32">
        <f>C130/C$130</f>
        <v>1</v>
      </c>
      <c r="C130" s="33">
        <f>VLOOKUP($A$6,data!$A$2:$GZ$32,195,FALSE)</f>
        <v>5308.538349587516</v>
      </c>
      <c r="D130" s="32">
        <v>1</v>
      </c>
      <c r="E130" s="32">
        <v>1</v>
      </c>
    </row>
    <row r="131" spans="1:5" s="24" customFormat="1" ht="12.75">
      <c r="A131" s="27" t="s">
        <v>458</v>
      </c>
      <c r="B131" s="30">
        <f aca="true" t="shared" si="7" ref="B131:B141">C131/C$130</f>
        <v>0.13212968910920553</v>
      </c>
      <c r="C131" s="31">
        <f>VLOOKUP($A$6,data!$A$2:$GZ$32,196,FALSE)</f>
        <v>701.4155217552934</v>
      </c>
      <c r="D131" s="30">
        <v>0.1490150976259964</v>
      </c>
      <c r="E131" s="30">
        <v>0.11288390728030409</v>
      </c>
    </row>
    <row r="132" spans="1:5" s="24" customFormat="1" ht="12.75">
      <c r="A132" s="27" t="s">
        <v>459</v>
      </c>
      <c r="B132" s="30">
        <f t="shared" si="7"/>
        <v>0.0001883757701548303</v>
      </c>
      <c r="C132" s="31">
        <f>VLOOKUP($A$6,data!$A$2:$GZ$32,197,FALSE)</f>
        <v>1</v>
      </c>
      <c r="D132" s="30">
        <v>0.00035899242791897416</v>
      </c>
      <c r="E132" s="30">
        <v>0.002893553439634382</v>
      </c>
    </row>
    <row r="133" spans="1:5" s="24" customFormat="1" ht="12.75">
      <c r="A133" s="27" t="s">
        <v>460</v>
      </c>
      <c r="B133" s="30">
        <f t="shared" si="7"/>
        <v>0.01934341309363803</v>
      </c>
      <c r="C133" s="31">
        <f>VLOOKUP($A$6,data!$A$2:$GZ$32,198,FALSE)</f>
        <v>102.68525021949078</v>
      </c>
      <c r="D133" s="30">
        <v>0.01198635828773908</v>
      </c>
      <c r="E133" s="30">
        <v>0.03480535628238138</v>
      </c>
    </row>
    <row r="134" spans="1:5" s="24" customFormat="1" ht="12.75">
      <c r="A134" s="27" t="s">
        <v>461</v>
      </c>
      <c r="B134" s="30">
        <f t="shared" si="7"/>
        <v>0.06178890648058377</v>
      </c>
      <c r="C134" s="31">
        <f>VLOOKUP($A$6,data!$A$2:$GZ$32,199,FALSE)</f>
        <v>328.00877963125555</v>
      </c>
      <c r="D134" s="30">
        <v>0.0952061214856968</v>
      </c>
      <c r="E134" s="30">
        <v>0.13392795905577728</v>
      </c>
    </row>
    <row r="135" spans="1:5" s="24" customFormat="1" ht="12.75">
      <c r="A135" s="27" t="s">
        <v>462</v>
      </c>
      <c r="B135" s="30">
        <f t="shared" si="7"/>
        <v>0.007698102368416796</v>
      </c>
      <c r="C135" s="31">
        <f>VLOOKUP($A$6,data!$A$2:$GZ$32,200,FALSE)</f>
        <v>40.865671641791046</v>
      </c>
      <c r="D135" s="30">
        <v>0.004487405348987177</v>
      </c>
      <c r="E135" s="30">
        <v>0.006969843168226134</v>
      </c>
    </row>
    <row r="136" spans="1:5" s="24" customFormat="1" ht="12.75">
      <c r="A136" s="27" t="s">
        <v>463</v>
      </c>
      <c r="B136" s="30">
        <f t="shared" si="7"/>
        <v>0.4352638424078425</v>
      </c>
      <c r="C136" s="31">
        <f>VLOOKUP($A$6,data!$A$2:$GZ$32,201,FALSE)</f>
        <v>2310.614799610849</v>
      </c>
      <c r="D136" s="30">
        <v>0.42567859540888575</v>
      </c>
      <c r="E136" s="30">
        <v>0.4092226349468843</v>
      </c>
    </row>
    <row r="137" spans="1:5" s="24" customFormat="1" ht="12.75">
      <c r="A137" s="27" t="s">
        <v>464</v>
      </c>
      <c r="B137" s="30">
        <f t="shared" si="7"/>
        <v>0.1185685885023612</v>
      </c>
      <c r="C137" s="31">
        <f>VLOOKUP($A$6,data!$A$2:$GZ$32,202,FALSE)</f>
        <v>629.4258991212458</v>
      </c>
      <c r="D137" s="30">
        <v>0.0957446101275753</v>
      </c>
      <c r="E137" s="30">
        <v>0.09005898080393689</v>
      </c>
    </row>
    <row r="138" spans="1:5" s="24" customFormat="1" ht="12.75">
      <c r="A138" s="27" t="s">
        <v>465</v>
      </c>
      <c r="B138" s="30">
        <f t="shared" si="7"/>
        <v>0.0024404502760357115</v>
      </c>
      <c r="C138" s="31">
        <f>VLOOKUP($A$6,data!$A$2:$GZ$32,203,FALSE)</f>
        <v>12.955223880597014</v>
      </c>
      <c r="D138" s="30">
        <v>0.002140658551664994</v>
      </c>
      <c r="E138" s="30">
        <v>0.0022206477262056742</v>
      </c>
    </row>
    <row r="139" spans="1:5" s="24" customFormat="1" ht="12.75">
      <c r="A139" s="27" t="s">
        <v>466</v>
      </c>
      <c r="B139" s="30">
        <f t="shared" si="7"/>
        <v>0.014440551832581233</v>
      </c>
      <c r="C139" s="31">
        <f>VLOOKUP($A$6,data!$A$2:$GZ$32,204,FALSE)</f>
        <v>76.65822319246375</v>
      </c>
      <c r="D139" s="30">
        <v>0.02447131716981007</v>
      </c>
      <c r="E139" s="30">
        <v>0.013008627381257604</v>
      </c>
    </row>
    <row r="140" spans="1:5" s="24" customFormat="1" ht="12.75">
      <c r="A140" s="27" t="s">
        <v>467</v>
      </c>
      <c r="B140" s="30">
        <f t="shared" si="7"/>
        <v>0.1910351287234802</v>
      </c>
      <c r="C140" s="31">
        <f>VLOOKUP($A$6,data!$A$2:$GZ$32,205,FALSE)</f>
        <v>1014.1173069469821</v>
      </c>
      <c r="D140" s="30">
        <v>0.1773622034157465</v>
      </c>
      <c r="E140" s="30">
        <v>0.18481505542641352</v>
      </c>
    </row>
    <row r="141" spans="1:5" s="24" customFormat="1" ht="12.75">
      <c r="A141" s="27" t="s">
        <v>468</v>
      </c>
      <c r="B141" s="30">
        <f t="shared" si="7"/>
        <v>0.017102951435700158</v>
      </c>
      <c r="C141" s="31">
        <f>VLOOKUP($A$6,data!$A$2:$GZ$32,206,FALSE)</f>
        <v>90.79167358754715</v>
      </c>
      <c r="D141" s="30">
        <v>0.013548640149979065</v>
      </c>
      <c r="E141" s="30">
        <v>0.00919343448897874</v>
      </c>
    </row>
    <row r="142" s="24" customFormat="1" ht="12.75"/>
    <row r="143" spans="1:5" ht="18.75">
      <c r="A143" s="9" t="s">
        <v>298</v>
      </c>
      <c r="B143" s="6"/>
      <c r="C143" s="6"/>
      <c r="D143" s="6"/>
      <c r="E143" s="6"/>
    </row>
    <row r="144" spans="1:5" ht="12.75">
      <c r="A144" s="1"/>
      <c r="B144" s="1"/>
      <c r="C144" s="1"/>
      <c r="D144" s="1"/>
      <c r="E144" s="1"/>
    </row>
    <row r="145" spans="1:5" ht="15">
      <c r="A145" s="22" t="s">
        <v>0</v>
      </c>
      <c r="B145" s="47" t="str">
        <f>CONCATENATE($A$6," ASG")</f>
        <v>Alness Academy ASG</v>
      </c>
      <c r="C145" s="48"/>
      <c r="D145" s="23" t="s">
        <v>1</v>
      </c>
      <c r="E145" s="23" t="s">
        <v>2</v>
      </c>
    </row>
    <row r="146" spans="1:5" ht="15">
      <c r="A146" s="22" t="s">
        <v>3</v>
      </c>
      <c r="B146" s="22" t="s">
        <v>4</v>
      </c>
      <c r="C146" s="22" t="s">
        <v>5</v>
      </c>
      <c r="D146" s="22" t="s">
        <v>4</v>
      </c>
      <c r="E146" s="22" t="s">
        <v>4</v>
      </c>
    </row>
    <row r="147" spans="1:5" ht="12.75">
      <c r="A147" s="1"/>
      <c r="B147" s="1"/>
      <c r="C147" s="1"/>
      <c r="D147" s="1"/>
      <c r="E147" s="1"/>
    </row>
    <row r="148" spans="1:5" ht="15">
      <c r="A148" s="7" t="s">
        <v>46</v>
      </c>
      <c r="B148" s="7"/>
      <c r="C148" s="7"/>
      <c r="D148" s="7"/>
      <c r="E148" s="7"/>
    </row>
    <row r="149" spans="1:5" ht="12.75">
      <c r="A149" s="3" t="s">
        <v>6</v>
      </c>
      <c r="B149" s="32">
        <f aca="true" t="shared" si="8" ref="B149:B154">C149/C$149</f>
        <v>1</v>
      </c>
      <c r="C149" s="33">
        <f>VLOOKUP($A$6,data!$A$2:$GZ$32,3,FALSE)</f>
        <v>8364.721400944403</v>
      </c>
      <c r="D149" s="32">
        <v>1</v>
      </c>
      <c r="E149" s="32">
        <v>1</v>
      </c>
    </row>
    <row r="150" spans="1:5" ht="12.75">
      <c r="A150" s="2" t="s">
        <v>47</v>
      </c>
      <c r="B150" s="30">
        <f t="shared" si="8"/>
        <v>0.5148330570297693</v>
      </c>
      <c r="C150" s="31">
        <f>VLOOKUP($A$6,data!$A$2:$GZ$32,35,FALSE)</f>
        <v>4306.435090050542</v>
      </c>
      <c r="D150" s="30">
        <v>0.5412007</v>
      </c>
      <c r="E150" s="30">
        <v>0.52469679833621</v>
      </c>
    </row>
    <row r="151" spans="1:5" ht="12.75">
      <c r="A151" s="2" t="s">
        <v>48</v>
      </c>
      <c r="B151" s="30">
        <f t="shared" si="8"/>
        <v>0.30201463691850017</v>
      </c>
      <c r="C151" s="31">
        <f>VLOOKUP($A$6,data!$A$2:$GZ$32,36,FALSE)</f>
        <v>2526.268296830632</v>
      </c>
      <c r="D151" s="30">
        <v>0.2989937</v>
      </c>
      <c r="E151" s="30">
        <v>0.29742778783786</v>
      </c>
    </row>
    <row r="152" spans="1:5" ht="12.75">
      <c r="A152" s="2" t="s">
        <v>49</v>
      </c>
      <c r="B152" s="30">
        <f t="shared" si="8"/>
        <v>0.12696592577165647</v>
      </c>
      <c r="C152" s="31">
        <f>VLOOKUP($A$6,data!$A$2:$GZ$32,37,FALSE)</f>
        <v>1062.0345964928933</v>
      </c>
      <c r="D152" s="30">
        <v>0.1160633</v>
      </c>
      <c r="E152" s="30">
        <v>0.12178128841185</v>
      </c>
    </row>
    <row r="153" spans="1:5" ht="12.75">
      <c r="A153" s="2" t="s">
        <v>50</v>
      </c>
      <c r="B153" s="30">
        <f t="shared" si="8"/>
        <v>0.044236220169287015</v>
      </c>
      <c r="C153" s="31">
        <f>VLOOKUP($A$6,data!$A$2:$GZ$32,38,FALSE)</f>
        <v>370.0236575469236</v>
      </c>
      <c r="D153" s="30">
        <v>0.0336231</v>
      </c>
      <c r="E153" s="30">
        <v>0.04270760884487</v>
      </c>
    </row>
    <row r="154" spans="1:5" ht="12.75">
      <c r="A154" s="2" t="s">
        <v>51</v>
      </c>
      <c r="B154" s="30">
        <f t="shared" si="8"/>
        <v>0.011950160110787022</v>
      </c>
      <c r="C154" s="31">
        <f>VLOOKUP($A$6,data!$A$2:$GZ$32,39,FALSE)</f>
        <v>99.95976002341234</v>
      </c>
      <c r="D154" s="30">
        <v>0.0101192</v>
      </c>
      <c r="E154" s="30">
        <v>0.01338651656918</v>
      </c>
    </row>
    <row r="155" spans="1:5" ht="12.75">
      <c r="A155" s="1"/>
      <c r="B155" s="1"/>
      <c r="C155" s="1"/>
      <c r="D155" s="1"/>
      <c r="E155" s="1"/>
    </row>
    <row r="156" spans="1:5" ht="15">
      <c r="A156" s="7" t="s">
        <v>52</v>
      </c>
      <c r="B156" s="7"/>
      <c r="C156" s="7"/>
      <c r="D156" s="7"/>
      <c r="E156" s="7"/>
    </row>
    <row r="157" spans="1:5" ht="12.75">
      <c r="A157" s="2" t="s">
        <v>53</v>
      </c>
      <c r="B157" s="30">
        <f>C157/C$149</f>
        <v>0.09291388848034772</v>
      </c>
      <c r="C157" s="31">
        <f>VLOOKUP($A$6,data!$A$2:$GZ$32,40,FALSE)</f>
        <v>777.1987914165262</v>
      </c>
      <c r="D157" s="30">
        <v>0.0808462</v>
      </c>
      <c r="E157" s="30">
        <v>0.09552870669144</v>
      </c>
    </row>
    <row r="158" spans="1:5" ht="12.75">
      <c r="A158" s="2" t="s">
        <v>54</v>
      </c>
      <c r="B158" s="30">
        <f>C158/C$149</f>
        <v>0.10524157542771283</v>
      </c>
      <c r="C158" s="31">
        <f>VLOOKUP($A$6,data!$A$2:$GZ$32,41,FALSE)</f>
        <v>880.3164582492941</v>
      </c>
      <c r="D158" s="30">
        <v>0.104768</v>
      </c>
      <c r="E158" s="30">
        <v>0.10093811556929</v>
      </c>
    </row>
    <row r="159" spans="1:5" ht="12.75">
      <c r="A159" s="2" t="s">
        <v>55</v>
      </c>
      <c r="B159" s="30">
        <f>C159/C$149</f>
        <v>0.8018445360919395</v>
      </c>
      <c r="C159" s="31">
        <f>VLOOKUP($A$6,data!$A$2:$GZ$32,42,FALSE)</f>
        <v>6707.206151278583</v>
      </c>
      <c r="D159" s="30">
        <v>0.8143858</v>
      </c>
      <c r="E159" s="30">
        <v>0.80353317773925</v>
      </c>
    </row>
    <row r="160" spans="1:5" ht="12.75">
      <c r="A160" s="1"/>
      <c r="B160" s="1"/>
      <c r="C160" s="1"/>
      <c r="D160" s="1"/>
      <c r="E160" s="1"/>
    </row>
    <row r="161" spans="1:5" ht="15">
      <c r="A161" s="7" t="s">
        <v>56</v>
      </c>
      <c r="B161" s="7"/>
      <c r="C161" s="7"/>
      <c r="D161" s="7"/>
      <c r="E161" s="7"/>
    </row>
    <row r="162" spans="1:5" ht="12.75">
      <c r="A162" s="2" t="s">
        <v>57</v>
      </c>
      <c r="B162" s="30">
        <f>C162/C$149</f>
        <v>0.9137279384672644</v>
      </c>
      <c r="C162" s="31">
        <f>VLOOKUP($A$6,data!$A$2:$GZ$32,43,FALSE)</f>
        <v>7643.079641537937</v>
      </c>
      <c r="D162" s="30">
        <v>0.9095644</v>
      </c>
      <c r="E162" s="30">
        <v>0.90704560162843</v>
      </c>
    </row>
    <row r="163" spans="1:5" ht="12.75">
      <c r="A163" s="2" t="s">
        <v>58</v>
      </c>
      <c r="B163" s="30">
        <f>C163/C$149</f>
        <v>0.043335512894080275</v>
      </c>
      <c r="C163" s="31">
        <f>VLOOKUP($A$6,data!$A$2:$GZ$32,44,FALSE)</f>
        <v>362.4894921260154</v>
      </c>
      <c r="D163" s="30">
        <v>0.0529096</v>
      </c>
      <c r="E163" s="30">
        <v>0.05161703462418</v>
      </c>
    </row>
    <row r="164" spans="1:5" ht="12.75">
      <c r="A164" s="2" t="s">
        <v>59</v>
      </c>
      <c r="B164" s="30">
        <f>C164/C$149</f>
        <v>0.007285032724738526</v>
      </c>
      <c r="C164" s="31">
        <f>VLOOKUP($A$6,data!$A$2:$GZ$32,45,FALSE)</f>
        <v>60.937269139200666</v>
      </c>
      <c r="D164" s="30">
        <v>0.0077585</v>
      </c>
      <c r="E164" s="30">
        <v>0.00874626539283</v>
      </c>
    </row>
    <row r="165" spans="1:5" ht="12.75">
      <c r="A165" s="2" t="s">
        <v>60</v>
      </c>
      <c r="B165" s="30">
        <f>C165/C$149</f>
        <v>0.008475486511540318</v>
      </c>
      <c r="C165" s="31">
        <f>VLOOKUP($A$6,data!$A$2:$GZ$32,46,FALSE)</f>
        <v>70.89508340649692</v>
      </c>
      <c r="D165" s="30">
        <v>0.0069228</v>
      </c>
      <c r="E165" s="30">
        <v>0.00764833195887</v>
      </c>
    </row>
    <row r="166" spans="1:5" ht="12.75">
      <c r="A166" s="2" t="s">
        <v>61</v>
      </c>
      <c r="B166" s="30">
        <f>C166/C$149</f>
        <v>0.02717602940237641</v>
      </c>
      <c r="C166" s="31">
        <f>VLOOKUP($A$6,data!$A$2:$GZ$32,47,FALSE)</f>
        <v>227.3199147347523</v>
      </c>
      <c r="D166" s="30">
        <v>0.0228448</v>
      </c>
      <c r="E166" s="30">
        <v>0.02494276639568</v>
      </c>
    </row>
    <row r="167" spans="1:5" ht="12.75">
      <c r="A167" s="5"/>
      <c r="D167" s="5"/>
      <c r="E167" s="5"/>
    </row>
    <row r="168" spans="1:5" ht="18.75">
      <c r="A168" s="9" t="s">
        <v>301</v>
      </c>
      <c r="B168" s="6"/>
      <c r="C168" s="6"/>
      <c r="D168" s="6"/>
      <c r="E168" s="6"/>
    </row>
    <row r="169" spans="1:5" ht="12.75">
      <c r="A169" s="1"/>
      <c r="B169" s="1"/>
      <c r="C169" s="1"/>
      <c r="D169" s="1"/>
      <c r="E169" s="1"/>
    </row>
    <row r="170" spans="1:5" ht="15">
      <c r="A170" s="22" t="s">
        <v>0</v>
      </c>
      <c r="B170" s="47" t="str">
        <f>CONCATENATE($A$6," ASG")</f>
        <v>Alness Academy ASG</v>
      </c>
      <c r="C170" s="48"/>
      <c r="D170" s="23" t="s">
        <v>1</v>
      </c>
      <c r="E170" s="23" t="s">
        <v>2</v>
      </c>
    </row>
    <row r="171" spans="1:5" ht="15">
      <c r="A171" s="22" t="s">
        <v>3</v>
      </c>
      <c r="B171" s="22" t="s">
        <v>4</v>
      </c>
      <c r="C171" s="22" t="s">
        <v>5</v>
      </c>
      <c r="D171" s="22" t="s">
        <v>4</v>
      </c>
      <c r="E171" s="22" t="s">
        <v>4</v>
      </c>
    </row>
    <row r="172" spans="1:5" ht="12.75">
      <c r="A172" s="1"/>
      <c r="B172" s="1"/>
      <c r="C172" s="1"/>
      <c r="D172" s="1"/>
      <c r="E172" s="1"/>
    </row>
    <row r="173" spans="1:5" ht="15">
      <c r="A173" s="7" t="s">
        <v>62</v>
      </c>
      <c r="B173" s="7"/>
      <c r="C173" s="7"/>
      <c r="D173" s="7"/>
      <c r="E173" s="7"/>
    </row>
    <row r="174" spans="1:5" ht="12.75">
      <c r="A174" s="28" t="s">
        <v>6</v>
      </c>
      <c r="B174" s="32">
        <f>C174/C$174</f>
        <v>1</v>
      </c>
      <c r="C174" s="33">
        <f>VLOOKUP($A$6,data!$A$2:$GZ$32,48,FALSE)</f>
        <v>8364.721400944403</v>
      </c>
      <c r="D174" s="32">
        <v>1</v>
      </c>
      <c r="E174" s="32">
        <v>1</v>
      </c>
    </row>
    <row r="175" spans="1:5" ht="12.75">
      <c r="A175" s="2" t="s">
        <v>63</v>
      </c>
      <c r="B175" s="30">
        <f aca="true" t="shared" si="9" ref="B175:B181">C175/C$174</f>
        <v>0.838884050883958</v>
      </c>
      <c r="C175" s="31">
        <f>VLOOKUP($A$6,data!$A$2:$GZ$32,49,FALSE)</f>
        <v>7017.031373339977</v>
      </c>
      <c r="D175" s="30">
        <v>0.7988127</v>
      </c>
      <c r="E175" s="30">
        <v>0.83953534792347</v>
      </c>
    </row>
    <row r="176" spans="1:5" ht="12.75">
      <c r="A176" s="2" t="s">
        <v>64</v>
      </c>
      <c r="B176" s="30">
        <f t="shared" si="9"/>
        <v>0.10812654365656167</v>
      </c>
      <c r="C176" s="31">
        <f>VLOOKUP($A$6,data!$A$2:$GZ$32,50,FALSE)</f>
        <v>904.4484137341907</v>
      </c>
      <c r="D176" s="30">
        <v>0.14705</v>
      </c>
      <c r="E176" s="30">
        <v>0.07876813152842</v>
      </c>
    </row>
    <row r="177" spans="1:5" ht="12.75">
      <c r="A177" s="2" t="s">
        <v>65</v>
      </c>
      <c r="B177" s="30">
        <f t="shared" si="9"/>
        <v>0.004067354261356519</v>
      </c>
      <c r="C177" s="31">
        <f>VLOOKUP($A$6,data!$A$2:$GZ$32,51,FALSE)</f>
        <v>34.02228523519129</v>
      </c>
      <c r="D177" s="30">
        <v>0.0059837</v>
      </c>
      <c r="E177" s="30">
        <v>0.01021452002803</v>
      </c>
    </row>
    <row r="178" spans="1:5" ht="12.75">
      <c r="A178" s="2" t="s">
        <v>66</v>
      </c>
      <c r="B178" s="30">
        <f t="shared" si="9"/>
        <v>0.023699391344673772</v>
      </c>
      <c r="C178" s="31">
        <f>VLOOKUP($A$6,data!$A$2:$GZ$32,52,FALSE)</f>
        <v>198.23880597014926</v>
      </c>
      <c r="D178" s="30">
        <v>0.0147545</v>
      </c>
      <c r="E178" s="30">
        <v>0.01155738288473</v>
      </c>
    </row>
    <row r="179" spans="1:5" ht="12.75">
      <c r="A179" s="2" t="s">
        <v>67</v>
      </c>
      <c r="B179" s="30">
        <f t="shared" si="9"/>
        <v>0.011689181686717447</v>
      </c>
      <c r="C179" s="31">
        <f>VLOOKUP($A$6,data!$A$2:$GZ$32,53,FALSE)</f>
        <v>97.77674821441282</v>
      </c>
      <c r="D179" s="30">
        <v>0.0185713</v>
      </c>
      <c r="E179" s="30">
        <v>0.01928408470516</v>
      </c>
    </row>
    <row r="180" spans="1:5" ht="12.75">
      <c r="A180" s="2" t="s">
        <v>68</v>
      </c>
      <c r="B180" s="30">
        <f t="shared" si="9"/>
        <v>0.006861215587678191</v>
      </c>
      <c r="C180" s="31">
        <f>VLOOKUP($A$6,data!$A$2:$GZ$32,54,FALSE)</f>
        <v>57.3921568627451</v>
      </c>
      <c r="D180" s="30">
        <v>0.0080385</v>
      </c>
      <c r="E180" s="30">
        <v>0.02656606116663</v>
      </c>
    </row>
    <row r="181" spans="1:5" ht="12.75">
      <c r="A181" s="2" t="s">
        <v>69</v>
      </c>
      <c r="B181" s="30">
        <f t="shared" si="9"/>
        <v>0.0066722625790543826</v>
      </c>
      <c r="C181" s="31">
        <f>C174-SUM(C175:C180)</f>
        <v>55.81161758773669</v>
      </c>
      <c r="D181" s="30">
        <v>0.0067892</v>
      </c>
      <c r="E181" s="30">
        <v>0.01407447176352</v>
      </c>
    </row>
    <row r="182" spans="1:5" ht="12.75">
      <c r="A182" s="1"/>
      <c r="B182" s="1"/>
      <c r="C182" s="1"/>
      <c r="D182" s="1"/>
      <c r="E182" s="1"/>
    </row>
    <row r="183" spans="1:5" ht="15">
      <c r="A183" s="7" t="s">
        <v>70</v>
      </c>
      <c r="B183" s="7"/>
      <c r="C183" s="7"/>
      <c r="D183" s="7"/>
      <c r="E183" s="7"/>
    </row>
    <row r="184" spans="1:5" ht="12.75">
      <c r="A184" s="28" t="s">
        <v>6</v>
      </c>
      <c r="B184" s="32">
        <f>C184/C$184</f>
        <v>1</v>
      </c>
      <c r="C184" s="33">
        <f>VLOOKUP($A$6,data!$A$2:$GZ$32,55,FALSE)</f>
        <v>8364.721400944403</v>
      </c>
      <c r="D184" s="32">
        <v>1</v>
      </c>
      <c r="E184" s="32">
        <v>1</v>
      </c>
    </row>
    <row r="185" spans="1:5" ht="12.75">
      <c r="A185" s="2" t="s">
        <v>71</v>
      </c>
      <c r="B185" s="30">
        <f aca="true" t="shared" si="10" ref="B185:B192">C185/C$184</f>
        <v>0.6669710660053295</v>
      </c>
      <c r="C185" s="31">
        <f>VLOOKUP($A$6,data!$A$2:$GZ$32,56,FALSE)</f>
        <v>5579.027149625482</v>
      </c>
      <c r="D185" s="30">
        <v>0.6151198</v>
      </c>
      <c r="E185" s="30">
        <v>0.62434115023917</v>
      </c>
    </row>
    <row r="186" spans="1:5" ht="12.75">
      <c r="A186" s="2" t="s">
        <v>72</v>
      </c>
      <c r="B186" s="30">
        <f t="shared" si="10"/>
        <v>0.08280920305185557</v>
      </c>
      <c r="C186" s="31">
        <f>VLOOKUP($A$6,data!$A$2:$GZ$32,57,FALSE)</f>
        <v>692.6759129630069</v>
      </c>
      <c r="D186" s="30">
        <v>0.1015974</v>
      </c>
      <c r="E186" s="30">
        <v>0.08370939851036</v>
      </c>
    </row>
    <row r="187" spans="1:5" ht="12.75">
      <c r="A187" s="2" t="s">
        <v>73</v>
      </c>
      <c r="B187" s="30">
        <f t="shared" si="10"/>
        <v>0.13894858053111206</v>
      </c>
      <c r="C187" s="31">
        <f>VLOOKUP($A$6,data!$A$2:$GZ$32,58,FALSE)</f>
        <v>1162.26616519944</v>
      </c>
      <c r="D187" s="30">
        <v>0.151612</v>
      </c>
      <c r="E187" s="30">
        <v>0.18294339448763</v>
      </c>
    </row>
    <row r="188" spans="1:5" ht="12.75">
      <c r="A188" s="2" t="s">
        <v>74</v>
      </c>
      <c r="B188" s="30">
        <f t="shared" si="10"/>
        <v>0.018594543454758125</v>
      </c>
      <c r="C188" s="31">
        <f>VLOOKUP($A$6,data!$A$2:$GZ$32,59,FALSE)</f>
        <v>155.53817557680597</v>
      </c>
      <c r="D188" s="30">
        <v>0.023142</v>
      </c>
      <c r="E188" s="30">
        <v>0.01926727767461</v>
      </c>
    </row>
    <row r="189" spans="1:5" ht="12.75">
      <c r="A189" s="2" t="s">
        <v>75</v>
      </c>
      <c r="B189" s="30">
        <f t="shared" si="10"/>
        <v>0.03510683848441574</v>
      </c>
      <c r="C189" s="31">
        <f>VLOOKUP($A$6,data!$A$2:$GZ$32,60,FALSE)</f>
        <v>293.6589231900909</v>
      </c>
      <c r="D189" s="30">
        <v>0.0442851</v>
      </c>
      <c r="E189" s="30">
        <v>0.02284811939714</v>
      </c>
    </row>
    <row r="190" spans="1:5" ht="12.75">
      <c r="A190" s="2" t="s">
        <v>76</v>
      </c>
      <c r="B190" s="30">
        <f t="shared" si="10"/>
        <v>0.022114423238183967</v>
      </c>
      <c r="C190" s="31">
        <f>VLOOKUP($A$6,data!$A$2:$GZ$32,61,FALSE)</f>
        <v>184.98098932997965</v>
      </c>
      <c r="D190" s="30">
        <v>0.0290137</v>
      </c>
      <c r="E190" s="30">
        <v>0.0197216340286</v>
      </c>
    </row>
    <row r="191" spans="1:5" ht="12.75">
      <c r="A191" s="2" t="s">
        <v>77</v>
      </c>
      <c r="B191" s="30">
        <f t="shared" si="10"/>
        <v>0.03297875600490034</v>
      </c>
      <c r="C191" s="31">
        <f>VLOOKUP($A$6,data!$A$2:$GZ$32,62,FALSE)</f>
        <v>275.8581061307136</v>
      </c>
      <c r="D191" s="30">
        <v>0.0327098</v>
      </c>
      <c r="E191" s="30">
        <v>0.04420097960438</v>
      </c>
    </row>
    <row r="192" spans="1:5" ht="12.75">
      <c r="A192" s="2" t="s">
        <v>78</v>
      </c>
      <c r="B192" s="30">
        <f t="shared" si="10"/>
        <v>0.002476589229444759</v>
      </c>
      <c r="C192" s="31">
        <f>VLOOKUP($A$6,data!$A$2:$GZ$32,63,FALSE)</f>
        <v>20.715978928884986</v>
      </c>
      <c r="D192" s="30">
        <v>0.0025201</v>
      </c>
      <c r="E192" s="30">
        <v>0.00296804605806</v>
      </c>
    </row>
    <row r="193" spans="1:5" ht="12.75">
      <c r="A193" s="1"/>
      <c r="B193" s="1"/>
      <c r="C193" s="1"/>
      <c r="D193" s="1"/>
      <c r="E193" s="1"/>
    </row>
    <row r="194" spans="1:5" ht="15">
      <c r="A194" s="7" t="s">
        <v>79</v>
      </c>
      <c r="B194" s="7"/>
      <c r="C194" s="7"/>
      <c r="D194" s="7"/>
      <c r="E194" s="7"/>
    </row>
    <row r="195" spans="1:5" ht="12.75">
      <c r="A195" s="28" t="s">
        <v>6</v>
      </c>
      <c r="B195" s="32">
        <f>C195/C$195</f>
        <v>1</v>
      </c>
      <c r="C195" s="33">
        <f>VLOOKUP($A$6,data!$A$2:$GZ$32,64,FALSE)</f>
        <v>8364.721400944403</v>
      </c>
      <c r="D195" s="32">
        <v>1</v>
      </c>
      <c r="E195" s="32">
        <v>1</v>
      </c>
    </row>
    <row r="196" spans="1:5" ht="12.75">
      <c r="A196" s="2" t="s">
        <v>80</v>
      </c>
      <c r="B196" s="30">
        <f aca="true" t="shared" si="11" ref="B196:B202">C196/C$195</f>
        <v>0.34253302608314234</v>
      </c>
      <c r="C196" s="31">
        <f>VLOOKUP($A$6,data!$A$2:$GZ$32,65,FALSE)</f>
        <v>2865.1933338079084</v>
      </c>
      <c r="D196" s="30">
        <v>0.3685403</v>
      </c>
      <c r="E196" s="30">
        <v>0.32440798179099</v>
      </c>
    </row>
    <row r="197" spans="1:5" ht="12.75">
      <c r="A197" s="2" t="s">
        <v>81</v>
      </c>
      <c r="B197" s="30">
        <f t="shared" si="11"/>
        <v>0.06829805008033325</v>
      </c>
      <c r="C197" s="31">
        <f>VLOOKUP($A$6,data!$A$2:$GZ$32,66,FALSE)</f>
        <v>571.2941611497362</v>
      </c>
      <c r="D197" s="30">
        <v>0.0761506</v>
      </c>
      <c r="E197" s="30">
        <v>0.15882700523454</v>
      </c>
    </row>
    <row r="198" spans="1:5" ht="12.75">
      <c r="A198" s="2" t="s">
        <v>82</v>
      </c>
      <c r="B198" s="30">
        <f t="shared" si="11"/>
        <v>0.07338982285626601</v>
      </c>
      <c r="C198" s="31">
        <f>VLOOKUP($A$6,data!$A$2:$GZ$32,67,FALSE)</f>
        <v>613.8854218573271</v>
      </c>
      <c r="D198" s="30">
        <v>0.0914781</v>
      </c>
      <c r="E198" s="30">
        <v>0.05500525644601</v>
      </c>
    </row>
    <row r="199" spans="1:5" ht="12.75">
      <c r="A199" s="2" t="s">
        <v>83</v>
      </c>
      <c r="B199" s="30">
        <f t="shared" si="11"/>
        <v>0.001912795326117323</v>
      </c>
      <c r="C199" s="31">
        <f>VLOOKUP($A$6,data!$A$2:$GZ$32,68,FALSE)</f>
        <v>16</v>
      </c>
      <c r="D199" s="30">
        <v>0.0029768</v>
      </c>
      <c r="E199" s="30">
        <v>0.01449124835258</v>
      </c>
    </row>
    <row r="200" spans="1:5" ht="12.75">
      <c r="A200" s="2" t="s">
        <v>84</v>
      </c>
      <c r="B200" s="30">
        <f t="shared" si="11"/>
        <v>0.00870489270774702</v>
      </c>
      <c r="C200" s="31">
        <f>C195-(SUM(C196:C199)+C201+C202)</f>
        <v>72.81400232541637</v>
      </c>
      <c r="D200" s="30">
        <v>0.0081678</v>
      </c>
      <c r="E200" s="30">
        <v>0.01120065838237</v>
      </c>
    </row>
    <row r="201" spans="1:5" ht="12.75">
      <c r="A201" s="2" t="s">
        <v>85</v>
      </c>
      <c r="B201" s="30">
        <f t="shared" si="11"/>
        <v>0.4297358187190815</v>
      </c>
      <c r="C201" s="31">
        <f>VLOOKUP($A$6,data!$A$2:$GZ$32,69,FALSE)</f>
        <v>3594.6203995918654</v>
      </c>
      <c r="D201" s="30">
        <v>0.3732402</v>
      </c>
      <c r="E201" s="30">
        <v>0.36656624623281</v>
      </c>
    </row>
    <row r="202" spans="1:5" ht="12.75">
      <c r="A202" s="2" t="s">
        <v>86</v>
      </c>
      <c r="B202" s="30">
        <f t="shared" si="11"/>
        <v>0.07542559422731265</v>
      </c>
      <c r="C202" s="31">
        <f>VLOOKUP($A$6,data!$A$2:$GZ$32,70,FALSE)</f>
        <v>630.9140822121508</v>
      </c>
      <c r="D202" s="30">
        <v>0.0794462</v>
      </c>
      <c r="E202" s="30">
        <v>0.06950160356067</v>
      </c>
    </row>
    <row r="203" spans="1:5" ht="12.75">
      <c r="A203" s="1"/>
      <c r="B203" s="1"/>
      <c r="C203" s="1"/>
      <c r="D203" s="1"/>
      <c r="E203" s="1"/>
    </row>
    <row r="204" spans="1:5" ht="15">
      <c r="A204" s="7" t="s">
        <v>87</v>
      </c>
      <c r="B204" s="7"/>
      <c r="C204" s="7"/>
      <c r="D204" s="7"/>
      <c r="E204" s="7"/>
    </row>
    <row r="205" spans="1:5" ht="12.75">
      <c r="A205" s="28" t="s">
        <v>6</v>
      </c>
      <c r="B205" s="32">
        <f>C205/C$205</f>
        <v>1</v>
      </c>
      <c r="C205" s="33">
        <f>VLOOKUP($A$6,data!$A$2:$GZ$32,71,FALSE)</f>
        <v>8364.721400944403</v>
      </c>
      <c r="D205" s="32">
        <v>1</v>
      </c>
      <c r="E205" s="32">
        <v>1</v>
      </c>
    </row>
    <row r="206" spans="1:5" ht="12.75">
      <c r="A206" s="2" t="s">
        <v>217</v>
      </c>
      <c r="B206" s="30">
        <f aca="true" t="shared" si="12" ref="B206:B212">C206/C$205</f>
        <v>0.8132792360149106</v>
      </c>
      <c r="C206" s="31">
        <f>VLOOKUP($A$6,data!$A$2:$GZ$32,72,FALSE)</f>
        <v>6802.854230437637</v>
      </c>
      <c r="D206" s="30">
        <v>0.7722804</v>
      </c>
      <c r="E206" s="30">
        <v>0.83315358623319</v>
      </c>
    </row>
    <row r="207" spans="1:5" ht="12.75">
      <c r="A207" s="2" t="s">
        <v>88</v>
      </c>
      <c r="B207" s="30">
        <f t="shared" si="12"/>
        <v>0.12368559172139176</v>
      </c>
      <c r="C207" s="31">
        <f>VLOOKUP($A$6,data!$A$2:$GZ$32,73,FALSE)</f>
        <v>1034.5955160603976</v>
      </c>
      <c r="D207" s="30">
        <v>0.1596419</v>
      </c>
      <c r="E207" s="30">
        <v>0.08677073303013</v>
      </c>
    </row>
    <row r="208" spans="1:5" ht="12.75">
      <c r="A208" s="2" t="s">
        <v>89</v>
      </c>
      <c r="B208" s="30">
        <f t="shared" si="12"/>
        <v>0.005655740194603955</v>
      </c>
      <c r="C208" s="31">
        <f>VLOOKUP($A$6,data!$A$2:$GZ$32,74,FALSE)</f>
        <v>47.308691043985164</v>
      </c>
      <c r="D208" s="30">
        <v>0.0054581</v>
      </c>
      <c r="E208" s="30">
        <v>0.00328228087645</v>
      </c>
    </row>
    <row r="209" spans="1:5" ht="12.75">
      <c r="A209" s="2" t="s">
        <v>90</v>
      </c>
      <c r="B209" s="30">
        <f t="shared" si="12"/>
        <v>0.004190420137117744</v>
      </c>
      <c r="C209" s="31">
        <f>VLOOKUP($A$6,data!$A$2:$GZ$32,75,FALSE)</f>
        <v>35.051696999897175</v>
      </c>
      <c r="D209" s="30">
        <v>0.0056778</v>
      </c>
      <c r="E209" s="30">
        <v>0.00692204162742</v>
      </c>
    </row>
    <row r="210" spans="1:5" ht="12.75">
      <c r="A210" s="2" t="s">
        <v>91</v>
      </c>
      <c r="B210" s="30">
        <f t="shared" si="12"/>
        <v>0.0012775759827425403</v>
      </c>
      <c r="C210" s="31">
        <f>VLOOKUP($A$6,data!$A$2:$GZ$32,76,FALSE)</f>
        <v>10.686567164179104</v>
      </c>
      <c r="D210" s="30">
        <v>0.0029337</v>
      </c>
      <c r="E210" s="30">
        <v>0.00433432545171</v>
      </c>
    </row>
    <row r="211" spans="1:5" ht="12.75">
      <c r="A211" s="2" t="s">
        <v>218</v>
      </c>
      <c r="B211" s="30">
        <f t="shared" si="12"/>
        <v>0.033276143337940975</v>
      </c>
      <c r="C211" s="31">
        <f>VLOOKUP($A$6,data!$A$2:$GZ$32,77,FALSE)</f>
        <v>278.3456683197684</v>
      </c>
      <c r="D211" s="30">
        <v>0.029746</v>
      </c>
      <c r="E211" s="30">
        <v>0.02592531673226</v>
      </c>
    </row>
    <row r="212" spans="1:5" ht="12.75">
      <c r="A212" s="2" t="s">
        <v>92</v>
      </c>
      <c r="B212" s="30">
        <f t="shared" si="12"/>
        <v>0.018635292611292414</v>
      </c>
      <c r="C212" s="31">
        <f>C205-SUM(C206:C211)</f>
        <v>155.87903091853877</v>
      </c>
      <c r="D212" s="30">
        <v>0.0242621</v>
      </c>
      <c r="E212" s="30">
        <v>0.0396117160488</v>
      </c>
    </row>
    <row r="213" spans="1:5" ht="12.75">
      <c r="A213" s="1"/>
      <c r="B213" s="1"/>
      <c r="C213" s="1"/>
      <c r="D213" s="1"/>
      <c r="E213" s="1"/>
    </row>
    <row r="214" spans="1:5" ht="15">
      <c r="A214" s="7" t="s">
        <v>93</v>
      </c>
      <c r="B214" s="7"/>
      <c r="C214" s="7"/>
      <c r="D214" s="7"/>
      <c r="E214" s="7"/>
    </row>
    <row r="215" spans="1:5" ht="12.75">
      <c r="A215" s="28" t="s">
        <v>94</v>
      </c>
      <c r="B215" s="32">
        <f>C215/C$215</f>
        <v>1</v>
      </c>
      <c r="C215" s="33">
        <f>VLOOKUP($A$6,data!$A$2:$GZ$32,78,FALSE)</f>
        <v>444.9112664024868</v>
      </c>
      <c r="D215" s="32">
        <v>1</v>
      </c>
      <c r="E215" s="32">
        <v>1</v>
      </c>
    </row>
    <row r="216" spans="1:5" ht="12.75">
      <c r="A216" s="2" t="s">
        <v>95</v>
      </c>
      <c r="B216" s="30">
        <f>C216/C$215</f>
        <v>0.14374826782367933</v>
      </c>
      <c r="C216" s="31">
        <f>VLOOKUP($A$6,data!$A$2:$GZ$32,79,FALSE)</f>
        <v>63.95522388059702</v>
      </c>
      <c r="D216" s="30">
        <v>0.1320984</v>
      </c>
      <c r="E216" s="30">
        <v>0.22100876290334</v>
      </c>
    </row>
    <row r="217" spans="1:5" ht="12.75">
      <c r="A217" s="2" t="s">
        <v>96</v>
      </c>
      <c r="B217" s="30">
        <f>C217/C$215</f>
        <v>0.20087855956317197</v>
      </c>
      <c r="C217" s="31">
        <f>VLOOKUP($A$6,data!$A$2:$GZ$32,80,FALSE)</f>
        <v>89.3731343283582</v>
      </c>
      <c r="D217" s="30">
        <v>0.2355755</v>
      </c>
      <c r="E217" s="30">
        <v>0.21726909370565</v>
      </c>
    </row>
    <row r="218" spans="1:5" ht="12.75">
      <c r="A218" s="2" t="s">
        <v>97</v>
      </c>
      <c r="B218" s="30">
        <f>C218/C$215</f>
        <v>0.23433111933877177</v>
      </c>
      <c r="C218" s="31">
        <f>VLOOKUP($A$6,data!$A$2:$GZ$32,81,FALSE)</f>
        <v>104.25655506252521</v>
      </c>
      <c r="D218" s="30">
        <v>0.2039174</v>
      </c>
      <c r="E218" s="30">
        <v>0.18776876333661</v>
      </c>
    </row>
    <row r="219" spans="1:5" ht="12.75">
      <c r="A219" s="2" t="s">
        <v>98</v>
      </c>
      <c r="B219" s="30">
        <f>C219/C$215</f>
        <v>0.4210420532743769</v>
      </c>
      <c r="C219" s="31">
        <f>VLOOKUP($A$6,data!$A$2:$GZ$32,82,FALSE)</f>
        <v>187.32635313100633</v>
      </c>
      <c r="D219" s="30">
        <v>0.4284087</v>
      </c>
      <c r="E219" s="30">
        <v>0.37395338005437</v>
      </c>
    </row>
    <row r="220" spans="1:5" ht="12.75">
      <c r="A220" s="1"/>
      <c r="B220" s="1"/>
      <c r="C220" s="1"/>
      <c r="D220" s="1"/>
      <c r="E220" s="1"/>
    </row>
    <row r="221" spans="1:5" ht="15">
      <c r="A221" s="7" t="s">
        <v>99</v>
      </c>
      <c r="B221" s="7"/>
      <c r="C221" s="7"/>
      <c r="D221" s="7"/>
      <c r="E221" s="7"/>
    </row>
    <row r="222" spans="1:5" ht="12.75">
      <c r="A222" s="28" t="s">
        <v>100</v>
      </c>
      <c r="B222" s="32">
        <f>C222/C$222</f>
        <v>1</v>
      </c>
      <c r="C222" s="33">
        <f>VLOOKUP($A$6,data!$A$2:$GZ$32,83,FALSE)</f>
        <v>8050.172792634601</v>
      </c>
      <c r="D222" s="32">
        <v>1</v>
      </c>
      <c r="E222" s="32">
        <v>1</v>
      </c>
    </row>
    <row r="223" spans="1:5" ht="12.75">
      <c r="A223" s="2" t="s">
        <v>101</v>
      </c>
      <c r="B223" s="30">
        <f aca="true" t="shared" si="13" ref="B223:B230">C223/C$222</f>
        <v>0.9825283472983806</v>
      </c>
      <c r="C223" s="31">
        <f>VLOOKUP($A$6,data!$A$2:$GZ$32,84,FALSE)</f>
        <v>7909.522969413663</v>
      </c>
      <c r="D223" s="30">
        <v>0.9882505364950182</v>
      </c>
      <c r="E223" s="30">
        <v>0.9856317319507181</v>
      </c>
    </row>
    <row r="224" spans="1:5" ht="12.75">
      <c r="A224" s="2" t="s">
        <v>102</v>
      </c>
      <c r="B224" s="30">
        <f t="shared" si="13"/>
        <v>0.013414654053462113</v>
      </c>
      <c r="C224" s="31">
        <f>VLOOKUP($A$6,data!$A$2:$GZ$32,85,FALSE)</f>
        <v>107.99028308378617</v>
      </c>
      <c r="D224" s="30">
        <v>0.010173370257250477</v>
      </c>
      <c r="E224" s="30">
        <v>0.012138587943510862</v>
      </c>
    </row>
    <row r="225" spans="1:5" ht="12.75">
      <c r="A225" s="2" t="s">
        <v>103</v>
      </c>
      <c r="B225" s="30">
        <f t="shared" si="13"/>
        <v>0.004056998648157403</v>
      </c>
      <c r="C225" s="31">
        <f>VLOOKUP($A$6,data!$A$2:$GZ$32,86,FALSE)</f>
        <v>32.65954013715208</v>
      </c>
      <c r="D225" s="30">
        <v>0.0015760932477315837</v>
      </c>
      <c r="E225" s="30">
        <v>0.002229680105771085</v>
      </c>
    </row>
    <row r="226" spans="1:5" ht="12.75">
      <c r="A226" s="2" t="s">
        <v>104</v>
      </c>
      <c r="B226" s="30">
        <f t="shared" si="13"/>
        <v>0.028291392621893625</v>
      </c>
      <c r="C226" s="31">
        <f>VLOOKUP($A$6,data!$A$2:$GZ$32,87,FALSE)</f>
        <v>227.75059915051136</v>
      </c>
      <c r="D226" s="30">
        <v>0.053600527145312264</v>
      </c>
      <c r="E226" s="30">
        <v>0.011209945326727656</v>
      </c>
    </row>
    <row r="227" spans="1:5" ht="12.75">
      <c r="A227" s="2" t="s">
        <v>192</v>
      </c>
      <c r="B227" s="30">
        <f t="shared" si="13"/>
        <v>0.015517139747907542</v>
      </c>
      <c r="C227" s="31">
        <f>C222-(C228+C226)</f>
        <v>124.91565621811424</v>
      </c>
      <c r="D227" s="30">
        <v>0.02028886138393441</v>
      </c>
      <c r="E227" s="30">
        <v>0.0057990830020497345</v>
      </c>
    </row>
    <row r="228" spans="1:5" ht="12.75">
      <c r="A228" s="2" t="s">
        <v>193</v>
      </c>
      <c r="B228" s="30">
        <f t="shared" si="13"/>
        <v>0.9561914676301988</v>
      </c>
      <c r="C228" s="31">
        <f>VLOOKUP($A$6,data!$A$2:$GZ$32,88,FALSE)</f>
        <v>7697.506537265976</v>
      </c>
      <c r="D228" s="30">
        <v>0.9261106114707534</v>
      </c>
      <c r="E228" s="30">
        <v>0.9829909716712226</v>
      </c>
    </row>
    <row r="229" spans="1:5" ht="12.75">
      <c r="A229" s="2" t="s">
        <v>105</v>
      </c>
      <c r="B229" s="30">
        <f t="shared" si="13"/>
        <v>0.24640061464018873</v>
      </c>
      <c r="C229" s="31">
        <f>VLOOKUP($A$6,data!$A$2:$GZ$32,89,FALSE)</f>
        <v>1983.5675240648902</v>
      </c>
      <c r="D229" s="30">
        <v>0.2157155196210253</v>
      </c>
      <c r="E229" s="30">
        <v>0.3004218456288442</v>
      </c>
    </row>
    <row r="230" spans="1:5" ht="12.75">
      <c r="A230" s="2" t="s">
        <v>106</v>
      </c>
      <c r="B230" s="30">
        <f t="shared" si="13"/>
        <v>0.06002405417000807</v>
      </c>
      <c r="C230" s="31">
        <f>VLOOKUP($A$6,data!$A$2:$GZ$32,90,FALSE)</f>
        <v>483.20400778302445</v>
      </c>
      <c r="D230" s="30">
        <v>0.07075501099703484</v>
      </c>
      <c r="E230" s="30">
        <v>0.07379045422600773</v>
      </c>
    </row>
    <row r="231" spans="1:5" ht="12.75">
      <c r="A231" s="5"/>
      <c r="D231" s="5"/>
      <c r="E231" s="5"/>
    </row>
    <row r="232" spans="1:5" ht="18.75">
      <c r="A232" s="9" t="s">
        <v>299</v>
      </c>
      <c r="B232" s="6"/>
      <c r="C232" s="6"/>
      <c r="D232" s="6"/>
      <c r="E232" s="6"/>
    </row>
    <row r="233" spans="1:5" ht="12.75">
      <c r="A233" s="1"/>
      <c r="B233" s="1"/>
      <c r="C233" s="1"/>
      <c r="D233" s="1"/>
      <c r="E233" s="1"/>
    </row>
    <row r="234" spans="1:5" ht="15">
      <c r="A234" s="22" t="s">
        <v>0</v>
      </c>
      <c r="B234" s="47" t="str">
        <f>CONCATENATE($A$6," ASG")</f>
        <v>Alness Academy ASG</v>
      </c>
      <c r="C234" s="48"/>
      <c r="D234" s="23" t="s">
        <v>1</v>
      </c>
      <c r="E234" s="23" t="s">
        <v>2</v>
      </c>
    </row>
    <row r="235" spans="1:5" ht="15">
      <c r="A235" s="22" t="s">
        <v>3</v>
      </c>
      <c r="B235" s="22" t="s">
        <v>4</v>
      </c>
      <c r="C235" s="22" t="s">
        <v>5</v>
      </c>
      <c r="D235" s="22" t="s">
        <v>4</v>
      </c>
      <c r="E235" s="22" t="s">
        <v>4</v>
      </c>
    </row>
    <row r="236" spans="1:5" ht="12.75">
      <c r="A236" s="5"/>
      <c r="D236" s="5"/>
      <c r="E236" s="5"/>
    </row>
    <row r="237" spans="1:5" ht="15">
      <c r="A237" s="7" t="s">
        <v>147</v>
      </c>
      <c r="B237" s="7"/>
      <c r="C237" s="7"/>
      <c r="D237" s="7"/>
      <c r="E237" s="7"/>
    </row>
    <row r="238" spans="1:5" ht="12.75">
      <c r="A238" s="28" t="s">
        <v>475</v>
      </c>
      <c r="B238" s="32">
        <f>C238/C$238</f>
        <v>1</v>
      </c>
      <c r="C238" s="33">
        <f>VLOOKUP($A$6,data!$A$2:$GZ$32,91,FALSE)</f>
        <v>6188.310798946444</v>
      </c>
      <c r="D238" s="32">
        <v>1</v>
      </c>
      <c r="E238" s="32">
        <v>1</v>
      </c>
    </row>
    <row r="239" spans="1:5" ht="12.75">
      <c r="A239" s="2" t="s">
        <v>306</v>
      </c>
      <c r="B239" s="30">
        <f aca="true" t="shared" si="14" ref="B239:B245">C239/C$238</f>
        <v>0.6833729442933744</v>
      </c>
      <c r="C239" s="40">
        <f>SUM(C240:C245)</f>
        <v>4228.924170878516</v>
      </c>
      <c r="D239" s="30">
        <v>0.714893592217164</v>
      </c>
      <c r="E239" s="30">
        <v>0.6898069023530864</v>
      </c>
    </row>
    <row r="240" spans="1:5" ht="12.75">
      <c r="A240" s="2" t="s">
        <v>307</v>
      </c>
      <c r="B240" s="30">
        <f t="shared" si="14"/>
        <v>0.15160255627882294</v>
      </c>
      <c r="C240" s="31">
        <f>VLOOKUP($A$6,data!$A$2:$GZ$32,92,FALSE)</f>
        <v>938.163736168126</v>
      </c>
      <c r="D240" s="30">
        <v>0.15155312811485397</v>
      </c>
      <c r="E240" s="30">
        <v>0.13343709781817542</v>
      </c>
    </row>
    <row r="241" spans="1:5" ht="12.75">
      <c r="A241" s="2" t="s">
        <v>308</v>
      </c>
      <c r="B241" s="30">
        <f t="shared" si="14"/>
        <v>0.385508860527822</v>
      </c>
      <c r="C241" s="31">
        <f>VLOOKUP($A$6,data!$A$2:$GZ$32,93,FALSE)</f>
        <v>2385.6486446938598</v>
      </c>
      <c r="D241" s="30">
        <v>0.3946560035440116</v>
      </c>
      <c r="E241" s="30">
        <v>0.3962735453453317</v>
      </c>
    </row>
    <row r="242" spans="1:5" ht="12.75">
      <c r="A242" s="2" t="s">
        <v>309</v>
      </c>
      <c r="B242" s="30">
        <f t="shared" si="14"/>
        <v>0.07733824164700241</v>
      </c>
      <c r="C242" s="31">
        <f>VLOOKUP($A$6,data!$A$2:$GZ$32,94,FALSE)</f>
        <v>478.5930759556747</v>
      </c>
      <c r="D242" s="30">
        <v>0.11031319036821581</v>
      </c>
      <c r="E242" s="30">
        <v>0.07497563297595031</v>
      </c>
    </row>
    <row r="243" spans="1:5" ht="12.75">
      <c r="A243" s="2" t="s">
        <v>310</v>
      </c>
      <c r="B243" s="30">
        <f t="shared" si="14"/>
        <v>0.05013929219680639</v>
      </c>
      <c r="C243" s="31">
        <f>VLOOKUP($A$6,data!$A$2:$GZ$32,95,FALSE)</f>
        <v>310.2775233530282</v>
      </c>
      <c r="D243" s="30">
        <v>0.03973606439842152</v>
      </c>
      <c r="E243" s="30">
        <v>0.04770496633950631</v>
      </c>
    </row>
    <row r="244" spans="1:5" ht="12.75">
      <c r="A244" s="2" t="s">
        <v>311</v>
      </c>
      <c r="B244" s="30">
        <f t="shared" si="14"/>
        <v>0.014920185159794062</v>
      </c>
      <c r="C244" s="31">
        <f>VLOOKUP($A$6,data!$A$2:$GZ$32,96,FALSE)</f>
        <v>92.33074294663407</v>
      </c>
      <c r="D244" s="30">
        <v>0.015382642503657678</v>
      </c>
      <c r="E244" s="30">
        <v>0.02920768763867796</v>
      </c>
    </row>
    <row r="245" spans="1:5" ht="12.75">
      <c r="A245" s="2" t="s">
        <v>312</v>
      </c>
      <c r="B245" s="30">
        <f t="shared" si="14"/>
        <v>0.0038638084831267307</v>
      </c>
      <c r="C245" s="31">
        <f>VLOOKUP($A$6,data!$A$2:$GZ$32,97,FALSE)</f>
        <v>23.91044776119403</v>
      </c>
      <c r="D245" s="30">
        <v>0.003252563288003404</v>
      </c>
      <c r="E245" s="30">
        <v>0.008207972235444639</v>
      </c>
    </row>
    <row r="246" spans="1:5" ht="12.75">
      <c r="A246" s="1"/>
      <c r="B246" s="1"/>
      <c r="C246" s="1"/>
      <c r="D246" s="1"/>
      <c r="E246" s="1"/>
    </row>
    <row r="247" spans="1:5" ht="15">
      <c r="A247" s="8" t="s">
        <v>198</v>
      </c>
      <c r="B247" s="8"/>
      <c r="C247" s="8"/>
      <c r="D247" s="8"/>
      <c r="E247" s="8"/>
    </row>
    <row r="248" spans="1:5" ht="12.75">
      <c r="A248" s="28" t="s">
        <v>475</v>
      </c>
      <c r="B248" s="32">
        <f>C248/C$248</f>
        <v>1</v>
      </c>
      <c r="C248" s="33">
        <f>VLOOKUP($A$6,data!$A$2:$GZ$32,98,FALSE)</f>
        <v>6188.310798946444</v>
      </c>
      <c r="D248" s="32">
        <v>1</v>
      </c>
      <c r="E248" s="32">
        <v>1</v>
      </c>
    </row>
    <row r="249" spans="1:5" ht="12.75">
      <c r="A249" s="2" t="s">
        <v>313</v>
      </c>
      <c r="B249" s="30">
        <f aca="true" t="shared" si="15" ref="B249:B254">C249/C$248</f>
        <v>0.3166270557066254</v>
      </c>
      <c r="C249" s="31">
        <f>VLOOKUP($A$6,data!$A$2:$GZ$32,99,FALSE)</f>
        <v>1959.3866280679274</v>
      </c>
      <c r="D249" s="30">
        <v>0.28510640778283597</v>
      </c>
      <c r="E249" s="30">
        <v>0.31019309764691366</v>
      </c>
    </row>
    <row r="250" spans="1:5" ht="12.75">
      <c r="A250" s="2" t="s">
        <v>314</v>
      </c>
      <c r="B250" s="30">
        <f t="shared" si="15"/>
        <v>0.14981338986572168</v>
      </c>
      <c r="C250" s="31">
        <f>VLOOKUP($A$6,data!$A$2:$GZ$32,100,FALSE)</f>
        <v>927.0918183328192</v>
      </c>
      <c r="D250" s="30">
        <v>0.16027326194792402</v>
      </c>
      <c r="E250" s="30">
        <v>0.1490146151773189</v>
      </c>
    </row>
    <row r="251" spans="1:5" ht="12.75">
      <c r="A251" s="2" t="s">
        <v>315</v>
      </c>
      <c r="B251" s="30">
        <f t="shared" si="15"/>
        <v>0.035188935072895965</v>
      </c>
      <c r="C251" s="31">
        <f>VLOOKUP($A$6,data!$A$2:$GZ$32,101,FALSE)</f>
        <v>217.76006691502738</v>
      </c>
      <c r="D251" s="30">
        <v>0.03187278863584698</v>
      </c>
      <c r="E251" s="30">
        <v>0.055008273454677334</v>
      </c>
    </row>
    <row r="252" spans="1:5" ht="12.75">
      <c r="A252" s="2" t="s">
        <v>317</v>
      </c>
      <c r="B252" s="30">
        <f t="shared" si="15"/>
        <v>0.05512108787847719</v>
      </c>
      <c r="C252" s="31">
        <f>VLOOKUP($A$6,data!$A$2:$GZ$32,102,FALSE)</f>
        <v>341.10642336805637</v>
      </c>
      <c r="D252" s="30">
        <v>0.03752688610782422</v>
      </c>
      <c r="E252" s="30">
        <v>0.03564813765416708</v>
      </c>
    </row>
    <row r="253" spans="1:5" ht="12.75">
      <c r="A253" s="2" t="s">
        <v>316</v>
      </c>
      <c r="B253" s="30">
        <f t="shared" si="15"/>
        <v>0.05691785096482786</v>
      </c>
      <c r="C253" s="31">
        <f>VLOOKUP($A$6,data!$A$2:$GZ$32,103,FALSE)</f>
        <v>352.22535177846856</v>
      </c>
      <c r="D253" s="30">
        <v>0.03852946833996864</v>
      </c>
      <c r="E253" s="30">
        <v>0.05137223494092728</v>
      </c>
    </row>
    <row r="254" spans="1:5" ht="12.75">
      <c r="A254" s="2" t="s">
        <v>318</v>
      </c>
      <c r="B254" s="30">
        <f t="shared" si="15"/>
        <v>0.01958579192470272</v>
      </c>
      <c r="C254" s="31">
        <f>VLOOKUP($A$6,data!$A$2:$GZ$32,104,FALSE)</f>
        <v>121.2029676735559</v>
      </c>
      <c r="D254" s="30">
        <v>0.01690400275127217</v>
      </c>
      <c r="E254" s="30">
        <v>0.019149836419823048</v>
      </c>
    </row>
    <row r="255" spans="1:5" ht="12.75">
      <c r="A255" s="5"/>
      <c r="D255" s="5"/>
      <c r="E255" s="5"/>
    </row>
    <row r="256" spans="1:5" ht="15">
      <c r="A256" s="7" t="s">
        <v>157</v>
      </c>
      <c r="B256" s="7"/>
      <c r="C256" s="7"/>
      <c r="D256" s="7"/>
      <c r="E256" s="7"/>
    </row>
    <row r="257" spans="1:5" ht="12.75">
      <c r="A257" s="28" t="s">
        <v>474</v>
      </c>
      <c r="B257" s="32">
        <f>C257/C$257</f>
        <v>1</v>
      </c>
      <c r="C257" s="41">
        <f>VLOOKUP($A$6,data!$A$2:$GZ$32,105,FALSE)</f>
        <v>310.2775233530282</v>
      </c>
      <c r="D257" s="32">
        <v>1</v>
      </c>
      <c r="E257" s="32">
        <v>1</v>
      </c>
    </row>
    <row r="258" spans="1:5" ht="12.75">
      <c r="A258" s="2" t="s">
        <v>319</v>
      </c>
      <c r="B258" s="30">
        <f>C258/C$257</f>
        <v>0.3407142669777058</v>
      </c>
      <c r="C258" s="42">
        <f>VLOOKUP($A$6,data!$A$2:$GZ$32,106,FALSE)</f>
        <v>105.715978928885</v>
      </c>
      <c r="D258" s="30">
        <v>0.28531612146105323</v>
      </c>
      <c r="E258" s="30">
        <v>0.30210016155088854</v>
      </c>
    </row>
    <row r="259" spans="1:5" s="5" customFormat="1" ht="12.75">
      <c r="A259" s="2" t="s">
        <v>354</v>
      </c>
      <c r="B259" s="30">
        <f>C259/C$257</f>
        <v>0.4510374418812322</v>
      </c>
      <c r="C259" s="42">
        <f>C257-(C258+C260)</f>
        <v>139.9467804063941</v>
      </c>
      <c r="D259" s="30">
        <v>0.48584421299691954</v>
      </c>
      <c r="E259" s="30">
        <v>0.5137529432882469</v>
      </c>
    </row>
    <row r="260" spans="1:5" ht="12.75">
      <c r="A260" s="2" t="s">
        <v>353</v>
      </c>
      <c r="B260" s="30">
        <f>C260/C$257</f>
        <v>0.20824829114106205</v>
      </c>
      <c r="C260" s="42">
        <f>VLOOKUP($A$6,data!$A$2:$GZ$32,107,FALSE)</f>
        <v>64.6147640177491</v>
      </c>
      <c r="D260" s="30">
        <v>0.22883966554202725</v>
      </c>
      <c r="E260" s="30">
        <v>0.18414689516086455</v>
      </c>
    </row>
    <row r="261" spans="1:5" ht="12.75">
      <c r="A261" s="2" t="s">
        <v>320</v>
      </c>
      <c r="B261" s="30">
        <f>C261/C$257</f>
        <v>0.10313347758545492</v>
      </c>
      <c r="C261" s="42">
        <f>VLOOKUP($A$6,data!$A$2:$GZ$32,108,FALSE)</f>
        <v>32</v>
      </c>
      <c r="D261" s="30">
        <v>0.0925627108698841</v>
      </c>
      <c r="E261" s="30">
        <v>0.1394617082158658</v>
      </c>
    </row>
    <row r="262" spans="1:5" ht="12.75">
      <c r="A262" s="5"/>
      <c r="D262" s="5"/>
      <c r="E262" s="5"/>
    </row>
    <row r="263" spans="1:5" ht="15">
      <c r="A263" s="7" t="s">
        <v>148</v>
      </c>
      <c r="B263" s="7"/>
      <c r="C263" s="7"/>
      <c r="D263" s="7"/>
      <c r="E263" s="7"/>
    </row>
    <row r="264" spans="1:5" ht="12.75">
      <c r="A264" s="28" t="s">
        <v>471</v>
      </c>
      <c r="B264" s="32">
        <f aca="true" t="shared" si="16" ref="B264:B269">C264/C$264</f>
        <v>1</v>
      </c>
      <c r="C264" s="33">
        <f>VLOOKUP($A$6,data!$A$2:$GZ$32,109,FALSE)</f>
        <v>3894.736199764295</v>
      </c>
      <c r="D264" s="32">
        <v>1</v>
      </c>
      <c r="E264" s="32">
        <v>1</v>
      </c>
    </row>
    <row r="265" spans="1:5" ht="12.75">
      <c r="A265" s="2" t="s">
        <v>321</v>
      </c>
      <c r="B265" s="30">
        <f t="shared" si="16"/>
        <v>0.07635622961735625</v>
      </c>
      <c r="C265" s="31">
        <f>VLOOKUP($A$6,data!$A$2:$GZ$32,110,FALSE)</f>
        <v>297.38737156823197</v>
      </c>
      <c r="D265" s="30">
        <v>0.07225644139845581</v>
      </c>
      <c r="E265" s="30">
        <v>0.06987776605698688</v>
      </c>
    </row>
    <row r="266" spans="1:5" ht="12.75">
      <c r="A266" s="2" t="s">
        <v>322</v>
      </c>
      <c r="B266" s="30">
        <f t="shared" si="16"/>
        <v>0.2177530847345588</v>
      </c>
      <c r="C266" s="31">
        <f>VLOOKUP($A$6,data!$A$2:$GZ$32,111,FALSE)</f>
        <v>848.090821726028</v>
      </c>
      <c r="D266" s="30">
        <v>0.21393250628958102</v>
      </c>
      <c r="E266" s="30">
        <v>0.2104744139107909</v>
      </c>
    </row>
    <row r="267" spans="1:5" ht="12.75">
      <c r="A267" s="2" t="s">
        <v>323</v>
      </c>
      <c r="B267" s="30">
        <f t="shared" si="16"/>
        <v>0.17134341851338145</v>
      </c>
      <c r="C267" s="31">
        <f>VLOOKUP($A$6,data!$A$2:$GZ$32,112,FALSE)</f>
        <v>667.3374146754304</v>
      </c>
      <c r="D267" s="30">
        <v>0.17760909169775316</v>
      </c>
      <c r="E267" s="30">
        <v>0.21172476404458668</v>
      </c>
    </row>
    <row r="268" spans="1:5" ht="12.75">
      <c r="A268" s="2" t="s">
        <v>324</v>
      </c>
      <c r="B268" s="30">
        <f t="shared" si="16"/>
        <v>0.3740016297026997</v>
      </c>
      <c r="C268" s="31">
        <f>VLOOKUP($A$6,data!$A$2:$GZ$32,113,FALSE)</f>
        <v>1456.6376859739457</v>
      </c>
      <c r="D268" s="30">
        <v>0.3786674763598508</v>
      </c>
      <c r="E268" s="30">
        <v>0.39079262345072</v>
      </c>
    </row>
    <row r="269" spans="1:5" ht="12.75">
      <c r="A269" s="2" t="s">
        <v>325</v>
      </c>
      <c r="B269" s="30">
        <f t="shared" si="16"/>
        <v>0.16054563743200365</v>
      </c>
      <c r="C269" s="31">
        <f>VLOOKUP($A$6,data!$A$2:$GZ$32,114,FALSE)</f>
        <v>625.2829058206582</v>
      </c>
      <c r="D269" s="30">
        <v>0.15753448425435934</v>
      </c>
      <c r="E269" s="30">
        <v>0.11713043253691552</v>
      </c>
    </row>
    <row r="270" spans="1:5" ht="12.75">
      <c r="A270" s="5"/>
      <c r="D270" s="5"/>
      <c r="E270" s="5"/>
    </row>
    <row r="271" spans="1:5" ht="15">
      <c r="A271" s="7" t="s">
        <v>149</v>
      </c>
      <c r="B271" s="7"/>
      <c r="C271" s="7"/>
      <c r="D271" s="7"/>
      <c r="E271" s="7"/>
    </row>
    <row r="272" spans="1:5" ht="12.75">
      <c r="A272" s="28" t="s">
        <v>471</v>
      </c>
      <c r="B272" s="32">
        <f>C272/C$272</f>
        <v>1</v>
      </c>
      <c r="C272" s="33">
        <f>VLOOKUP($A$6,data!$A$2:$GZ$32,115,FALSE)</f>
        <v>3894.736199764295</v>
      </c>
      <c r="D272" s="32">
        <v>1</v>
      </c>
      <c r="E272" s="32">
        <v>1</v>
      </c>
    </row>
    <row r="273" spans="1:5" ht="12.75">
      <c r="A273" s="2" t="s">
        <v>326</v>
      </c>
      <c r="B273" s="30">
        <f aca="true" t="shared" si="17" ref="B273:B290">C273/C$272</f>
        <v>0.025466235540640095</v>
      </c>
      <c r="C273" s="31">
        <f>VLOOKUP($A$6,data!$A$2:$GZ$32,116,FALSE)</f>
        <v>99.18426943185504</v>
      </c>
      <c r="D273" s="30">
        <v>0.043185564327231724</v>
      </c>
      <c r="E273" s="30">
        <v>0.01996984379562914</v>
      </c>
    </row>
    <row r="274" spans="1:5" ht="12.75">
      <c r="A274" s="2" t="s">
        <v>327</v>
      </c>
      <c r="B274" s="30">
        <f t="shared" si="17"/>
        <v>0.0230514556047584</v>
      </c>
      <c r="C274" s="31">
        <f>VLOOKUP($A$6,data!$A$2:$GZ$32,117,FALSE)</f>
        <v>89.7793386011121</v>
      </c>
      <c r="D274" s="30">
        <v>0.012266851739394466</v>
      </c>
      <c r="E274" s="30">
        <v>0.013500761851408184</v>
      </c>
    </row>
    <row r="275" spans="1:5" ht="12.75">
      <c r="A275" s="2" t="s">
        <v>328</v>
      </c>
      <c r="B275" s="30">
        <f t="shared" si="17"/>
        <v>0.1089070399670494</v>
      </c>
      <c r="C275" s="31">
        <f>VLOOKUP($A$6,data!$A$2:$GZ$32,118,FALSE)</f>
        <v>424.1641909688442</v>
      </c>
      <c r="D275" s="30">
        <v>0.057282901015008256</v>
      </c>
      <c r="E275" s="30">
        <v>0.07709340278398583</v>
      </c>
    </row>
    <row r="276" spans="1:5" ht="12.75">
      <c r="A276" s="2" t="s">
        <v>329</v>
      </c>
      <c r="B276" s="30">
        <f t="shared" si="17"/>
        <v>0.005391892781151877</v>
      </c>
      <c r="C276" s="31">
        <f>VLOOKUP($A$6,data!$A$2:$GZ$32,119,FALSE)</f>
        <v>21</v>
      </c>
      <c r="D276" s="30">
        <v>0.007747028715190424</v>
      </c>
      <c r="E276" s="30">
        <v>0.008019802176888587</v>
      </c>
    </row>
    <row r="277" spans="1:5" ht="12.75">
      <c r="A277" s="2" t="s">
        <v>330</v>
      </c>
      <c r="B277" s="30">
        <f t="shared" si="17"/>
        <v>0.01565183285766609</v>
      </c>
      <c r="C277" s="31">
        <f>VLOOKUP($A$6,data!$A$2:$GZ$32,120,FALSE)</f>
        <v>60.95976002341235</v>
      </c>
      <c r="D277" s="30">
        <v>0.013143055435065502</v>
      </c>
      <c r="E277" s="30">
        <v>0.007630830845148487</v>
      </c>
    </row>
    <row r="278" spans="1:5" ht="12.75">
      <c r="A278" s="2" t="s">
        <v>331</v>
      </c>
      <c r="B278" s="30">
        <f t="shared" si="17"/>
        <v>0.11886556715087924</v>
      </c>
      <c r="C278" s="31">
        <f>VLOOKUP($A$6,data!$A$2:$GZ$32,121,FALSE)</f>
        <v>462.9500272880431</v>
      </c>
      <c r="D278" s="30">
        <v>0.09783985425522687</v>
      </c>
      <c r="E278" s="30">
        <v>0.0795992681458702</v>
      </c>
    </row>
    <row r="279" spans="1:5" ht="12.75">
      <c r="A279" s="2" t="s">
        <v>332</v>
      </c>
      <c r="B279" s="30">
        <f t="shared" si="17"/>
        <v>0.164237889519346</v>
      </c>
      <c r="C279" s="31">
        <f>VLOOKUP($A$6,data!$A$2:$GZ$32,122,FALSE)</f>
        <v>639.6632536838858</v>
      </c>
      <c r="D279" s="30">
        <v>0.1493797171857378</v>
      </c>
      <c r="E279" s="30">
        <v>0.14963754944087854</v>
      </c>
    </row>
    <row r="280" spans="1:5" ht="12.75">
      <c r="A280" s="2" t="s">
        <v>333</v>
      </c>
      <c r="B280" s="30">
        <f t="shared" si="17"/>
        <v>0.04104776993055487</v>
      </c>
      <c r="C280" s="31">
        <f>VLOOKUP($A$6,data!$A$2:$GZ$32,123,FALSE)</f>
        <v>159.87023546812836</v>
      </c>
      <c r="D280" s="30">
        <v>0.05026459616552443</v>
      </c>
      <c r="E280" s="30">
        <v>0.04970847015866772</v>
      </c>
    </row>
    <row r="281" spans="1:5" ht="12.75">
      <c r="A281" s="2" t="s">
        <v>334</v>
      </c>
      <c r="B281" s="30">
        <f t="shared" si="17"/>
        <v>0.05440934265996701</v>
      </c>
      <c r="C281" s="31">
        <f>VLOOKUP($A$6,data!$A$2:$GZ$32,124,FALSE)</f>
        <v>211.91003646315326</v>
      </c>
      <c r="D281" s="30">
        <v>0.09137676758913856</v>
      </c>
      <c r="E281" s="30">
        <v>0.06284529151990846</v>
      </c>
    </row>
    <row r="282" spans="1:5" ht="12.75">
      <c r="A282" s="2" t="s">
        <v>335</v>
      </c>
      <c r="B282" s="30">
        <f t="shared" si="17"/>
        <v>0.036255029149092975</v>
      </c>
      <c r="C282" s="31">
        <f>VLOOKUP($A$6,data!$A$2:$GZ$32,125,FALSE)</f>
        <v>141.20377445048211</v>
      </c>
      <c r="D282" s="30">
        <v>0.023865706601891207</v>
      </c>
      <c r="E282" s="30">
        <v>0.02742029365547629</v>
      </c>
    </row>
    <row r="283" spans="1:5" ht="12.75">
      <c r="A283" s="2" t="s">
        <v>336</v>
      </c>
      <c r="B283" s="30">
        <f t="shared" si="17"/>
        <v>0.007131369374895699</v>
      </c>
      <c r="C283" s="31">
        <f>VLOOKUP($A$6,data!$A$2:$GZ$32,126,FALSE)</f>
        <v>27.77480245829675</v>
      </c>
      <c r="D283" s="30">
        <v>0.012553136115207775</v>
      </c>
      <c r="E283" s="30">
        <v>0.04509723290006139</v>
      </c>
    </row>
    <row r="284" spans="1:5" ht="12.75">
      <c r="A284" s="2" t="s">
        <v>337</v>
      </c>
      <c r="B284" s="30">
        <f t="shared" si="17"/>
        <v>0.013430552167976981</v>
      </c>
      <c r="C284" s="31">
        <f>VLOOKUP($A$6,data!$A$2:$GZ$32,127,FALSE)</f>
        <v>52.308457711442784</v>
      </c>
      <c r="D284" s="30">
        <v>0.013333911685607703</v>
      </c>
      <c r="E284" s="30">
        <v>0.011729531823933855</v>
      </c>
    </row>
    <row r="285" spans="1:5" ht="12.75">
      <c r="A285" s="2" t="s">
        <v>338</v>
      </c>
      <c r="B285" s="30">
        <f t="shared" si="17"/>
        <v>0.028782696314297158</v>
      </c>
      <c r="C285" s="31">
        <f>VLOOKUP($A$6,data!$A$2:$GZ$32,128,FALSE)</f>
        <v>112.1010092621155</v>
      </c>
      <c r="D285" s="30">
        <v>0.044677713195107153</v>
      </c>
      <c r="E285" s="30">
        <v>0.05217341208115555</v>
      </c>
    </row>
    <row r="286" spans="1:5" ht="12.75">
      <c r="A286" s="2" t="s">
        <v>339</v>
      </c>
      <c r="B286" s="30">
        <f t="shared" si="17"/>
        <v>0.05327239941094085</v>
      </c>
      <c r="C286" s="31">
        <f>VLOOKUP($A$6,data!$A$2:$GZ$32,129,FALSE)</f>
        <v>207.48194243409344</v>
      </c>
      <c r="D286" s="30">
        <v>0.03952459443046761</v>
      </c>
      <c r="E286" s="30">
        <v>0.04341222021578175</v>
      </c>
    </row>
    <row r="287" spans="1:5" ht="12.75">
      <c r="A287" s="2" t="s">
        <v>340</v>
      </c>
      <c r="B287" s="30">
        <f t="shared" si="17"/>
        <v>0.05113853410585944</v>
      </c>
      <c r="C287" s="31">
        <f>VLOOKUP($A$6,data!$A$2:$GZ$32,130,FALSE)</f>
        <v>199.1710999849718</v>
      </c>
      <c r="D287" s="30">
        <v>0.0664092999045719</v>
      </c>
      <c r="E287" s="30">
        <v>0.06965964015185377</v>
      </c>
    </row>
    <row r="288" spans="1:5" ht="12.75">
      <c r="A288" s="2" t="s">
        <v>341</v>
      </c>
      <c r="B288" s="30">
        <f t="shared" si="17"/>
        <v>0.0673094257644921</v>
      </c>
      <c r="C288" s="31">
        <f>VLOOKUP($A$6,data!$A$2:$GZ$32,131,FALSE)</f>
        <v>262.1524571103149</v>
      </c>
      <c r="D288" s="30">
        <v>0.07578728203348659</v>
      </c>
      <c r="E288" s="30">
        <v>0.08421249197920454</v>
      </c>
    </row>
    <row r="289" spans="1:5" ht="12.75">
      <c r="A289" s="2" t="s">
        <v>342</v>
      </c>
      <c r="B289" s="30">
        <f t="shared" si="17"/>
        <v>0.1385298471924691</v>
      </c>
      <c r="C289" s="31">
        <f>VLOOKUP($A$6,data!$A$2:$GZ$32,132,FALSE)</f>
        <v>539.5372106083256</v>
      </c>
      <c r="D289" s="30">
        <v>0.15199965298863533</v>
      </c>
      <c r="E289" s="30">
        <v>0.1497134365954877</v>
      </c>
    </row>
    <row r="290" spans="1:5" ht="12.75">
      <c r="A290" s="2" t="s">
        <v>343</v>
      </c>
      <c r="B290" s="30">
        <f t="shared" si="17"/>
        <v>0.04712112050796258</v>
      </c>
      <c r="C290" s="31">
        <f>VLOOKUP($A$6,data!$A$2:$GZ$32,133,FALSE)</f>
        <v>183.52433381581756</v>
      </c>
      <c r="D290" s="30">
        <v>0.04936236661750673</v>
      </c>
      <c r="E290" s="30">
        <v>0.04857651987866002</v>
      </c>
    </row>
    <row r="291" spans="1:5" ht="12.75">
      <c r="A291" s="5"/>
      <c r="D291" s="5"/>
      <c r="E291" s="5"/>
    </row>
    <row r="292" spans="1:5" ht="15">
      <c r="A292" s="7" t="s">
        <v>150</v>
      </c>
      <c r="B292" s="7"/>
      <c r="C292" s="7"/>
      <c r="D292" s="7"/>
      <c r="E292" s="7"/>
    </row>
    <row r="293" spans="1:5" ht="12.75">
      <c r="A293" s="28" t="s">
        <v>472</v>
      </c>
      <c r="B293" s="32">
        <f>C293/C$293</f>
        <v>1</v>
      </c>
      <c r="C293" s="33">
        <f>VLOOKUP($A$6,data!$A$2:$GZ$32,134,FALSE)</f>
        <v>3894.736199764295</v>
      </c>
      <c r="D293" s="32">
        <v>1</v>
      </c>
      <c r="E293" s="32">
        <v>1</v>
      </c>
    </row>
    <row r="294" spans="1:5" ht="12.75">
      <c r="A294" s="2" t="s">
        <v>344</v>
      </c>
      <c r="B294" s="30">
        <f aca="true" t="shared" si="18" ref="B294:B302">C294/C$293</f>
        <v>0.07047256437265043</v>
      </c>
      <c r="C294" s="31">
        <f>VLOOKUP($A$6,data!$A$2:$GZ$32,135,FALSE)</f>
        <v>274.4720475523812</v>
      </c>
      <c r="D294" s="30">
        <v>0.09734536306064026</v>
      </c>
      <c r="E294" s="30">
        <v>0.08376153951595121</v>
      </c>
    </row>
    <row r="295" spans="1:5" ht="12.75">
      <c r="A295" s="2" t="s">
        <v>345</v>
      </c>
      <c r="B295" s="30">
        <f t="shared" si="18"/>
        <v>0.12109705584704385</v>
      </c>
      <c r="C295" s="31">
        <f>VLOOKUP($A$6,data!$A$2:$GZ$32,136,FALSE)</f>
        <v>471.6410870923602</v>
      </c>
      <c r="D295" s="30">
        <v>0.14635204302940927</v>
      </c>
      <c r="E295" s="30">
        <v>0.167523476346848</v>
      </c>
    </row>
    <row r="296" spans="1:5" ht="12.75">
      <c r="A296" s="2" t="s">
        <v>346</v>
      </c>
      <c r="B296" s="30">
        <f t="shared" si="18"/>
        <v>0.1042016546604785</v>
      </c>
      <c r="C296" s="31">
        <f>VLOOKUP($A$6,data!$A$2:$GZ$32,137,FALSE)</f>
        <v>405.83795648150345</v>
      </c>
      <c r="D296" s="30">
        <v>0.11001127786935024</v>
      </c>
      <c r="E296" s="30">
        <v>0.12649713237938015</v>
      </c>
    </row>
    <row r="297" spans="1:5" ht="12.75">
      <c r="A297" s="2" t="s">
        <v>347</v>
      </c>
      <c r="B297" s="30">
        <f t="shared" si="18"/>
        <v>0.08006989688987397</v>
      </c>
      <c r="C297" s="31">
        <f>VLOOKUP($A$6,data!$A$2:$GZ$32,138,FALSE)</f>
        <v>311.8511259283867</v>
      </c>
      <c r="D297" s="30">
        <v>0.09696365055955582</v>
      </c>
      <c r="E297" s="30">
        <v>0.11368928779309427</v>
      </c>
    </row>
    <row r="298" spans="1:5" ht="12.75">
      <c r="A298" s="2" t="s">
        <v>348</v>
      </c>
      <c r="B298" s="30">
        <f t="shared" si="18"/>
        <v>0.16506723597442097</v>
      </c>
      <c r="C298" s="31">
        <f>VLOOKUP($A$6,data!$A$2:$GZ$32,139,FALSE)</f>
        <v>642.8933393446125</v>
      </c>
      <c r="D298" s="30">
        <v>0.16921141667389614</v>
      </c>
      <c r="E298" s="30">
        <v>0.12522453260863087</v>
      </c>
    </row>
    <row r="299" spans="1:5" ht="12.75">
      <c r="A299" s="2" t="s">
        <v>349</v>
      </c>
      <c r="B299" s="30">
        <f t="shared" si="18"/>
        <v>0.11210612338981286</v>
      </c>
      <c r="C299" s="31">
        <f>VLOOKUP($A$6,data!$A$2:$GZ$32,140,FALSE)</f>
        <v>436.62377698154694</v>
      </c>
      <c r="D299" s="30">
        <v>0.10283681790578643</v>
      </c>
      <c r="E299" s="30">
        <v>0.09714668271819046</v>
      </c>
    </row>
    <row r="300" spans="1:5" ht="12.75">
      <c r="A300" s="2" t="s">
        <v>350</v>
      </c>
      <c r="B300" s="30">
        <f t="shared" si="18"/>
        <v>0.10596002921587705</v>
      </c>
      <c r="C300" s="31">
        <f>VLOOKUP($A$6,data!$A$2:$GZ$32,141,FALSE)</f>
        <v>412.6863615151587</v>
      </c>
      <c r="D300" s="30">
        <v>0.08156502125444609</v>
      </c>
      <c r="E300" s="30">
        <v>0.09311751185488469</v>
      </c>
    </row>
    <row r="301" spans="1:5" ht="12.75">
      <c r="A301" s="2" t="s">
        <v>352</v>
      </c>
      <c r="B301" s="30">
        <f t="shared" si="18"/>
        <v>0.11762955760047433</v>
      </c>
      <c r="C301" s="31">
        <f>VLOOKUP($A$6,data!$A$2:$GZ$32,142,FALSE)</f>
        <v>458.13609614882665</v>
      </c>
      <c r="D301" s="30">
        <v>0.08161707295913942</v>
      </c>
      <c r="E301" s="30">
        <v>0.07691778957803166</v>
      </c>
    </row>
    <row r="302" spans="1:5" ht="12.75">
      <c r="A302" s="2" t="s">
        <v>351</v>
      </c>
      <c r="B302" s="30">
        <f t="shared" si="18"/>
        <v>0.12339588204936794</v>
      </c>
      <c r="C302" s="31">
        <f>VLOOKUP($A$6,data!$A$2:$GZ$32,143,FALSE)</f>
        <v>480.59440871951847</v>
      </c>
      <c r="D302" s="30">
        <v>0.11409733668777654</v>
      </c>
      <c r="E302" s="30">
        <v>0.11612204720498868</v>
      </c>
    </row>
    <row r="303" spans="1:5" ht="12.75">
      <c r="A303" s="5"/>
      <c r="D303" s="5"/>
      <c r="E303" s="5"/>
    </row>
    <row r="304" spans="1:5" ht="18.75">
      <c r="A304" s="9" t="s">
        <v>300</v>
      </c>
      <c r="B304" s="6"/>
      <c r="C304" s="6"/>
      <c r="D304" s="6"/>
      <c r="E304" s="6"/>
    </row>
    <row r="305" spans="1:5" ht="12.75">
      <c r="A305" s="1"/>
      <c r="B305" s="1"/>
      <c r="C305" s="1"/>
      <c r="D305" s="1"/>
      <c r="E305" s="1"/>
    </row>
    <row r="306" spans="1:5" ht="15">
      <c r="A306" s="22" t="s">
        <v>0</v>
      </c>
      <c r="B306" s="47" t="str">
        <f>CONCATENATE($A$6," ASG")</f>
        <v>Alness Academy ASG</v>
      </c>
      <c r="C306" s="48"/>
      <c r="D306" s="23" t="s">
        <v>1</v>
      </c>
      <c r="E306" s="23" t="s">
        <v>2</v>
      </c>
    </row>
    <row r="307" spans="1:5" ht="15">
      <c r="A307" s="22" t="s">
        <v>3</v>
      </c>
      <c r="B307" s="22" t="s">
        <v>4</v>
      </c>
      <c r="C307" s="22" t="s">
        <v>5</v>
      </c>
      <c r="D307" s="22" t="s">
        <v>4</v>
      </c>
      <c r="E307" s="22" t="s">
        <v>4</v>
      </c>
    </row>
    <row r="308" spans="1:5" ht="12.75">
      <c r="A308" s="5"/>
      <c r="D308" s="5"/>
      <c r="E308" s="5"/>
    </row>
    <row r="309" spans="1:5" ht="15">
      <c r="A309" s="7" t="s">
        <v>151</v>
      </c>
      <c r="B309" s="7"/>
      <c r="C309" s="7"/>
      <c r="D309" s="7"/>
      <c r="E309" s="7"/>
    </row>
    <row r="310" spans="1:5" ht="12.75">
      <c r="A310" s="28" t="s">
        <v>473</v>
      </c>
      <c r="B310" s="32">
        <f aca="true" t="shared" si="19" ref="B310:B315">C310/C$310</f>
        <v>1</v>
      </c>
      <c r="C310" s="33">
        <f>VLOOKUP($A$6,data!$A$2:$GZ$32,144,FALSE)</f>
        <v>6666.498635597844</v>
      </c>
      <c r="D310" s="32">
        <v>1</v>
      </c>
      <c r="E310" s="32">
        <v>1</v>
      </c>
    </row>
    <row r="311" spans="1:5" ht="12.75">
      <c r="A311" s="27" t="s">
        <v>476</v>
      </c>
      <c r="B311" s="30">
        <f t="shared" si="19"/>
        <v>0.31050184111372314</v>
      </c>
      <c r="C311" s="31">
        <f>VLOOKUP($A$6,data!$A$2:$GZ$32,145,FALSE)</f>
        <v>2069.960100135254</v>
      </c>
      <c r="D311" s="30">
        <v>0.2549309509578785</v>
      </c>
      <c r="E311" s="30">
        <v>0.26789146193531416</v>
      </c>
    </row>
    <row r="312" spans="1:5" ht="51">
      <c r="A312" s="43" t="s">
        <v>477</v>
      </c>
      <c r="B312" s="30">
        <f t="shared" si="19"/>
        <v>0.2702721029121732</v>
      </c>
      <c r="C312" s="31">
        <f>VLOOKUP($A$6,data!$A$2:$GZ$32,146,FALSE)</f>
        <v>1801.7686053041627</v>
      </c>
      <c r="D312" s="30">
        <v>0.2449432193526063</v>
      </c>
      <c r="E312" s="30">
        <v>0.23084228804641713</v>
      </c>
    </row>
    <row r="313" spans="1:5" ht="38.25">
      <c r="A313" s="43" t="s">
        <v>478</v>
      </c>
      <c r="B313" s="30">
        <f t="shared" si="19"/>
        <v>0.13237314931920385</v>
      </c>
      <c r="C313" s="31">
        <f>VLOOKUP($A$6,data!$A$2:$GZ$32,147,FALSE)</f>
        <v>882.4654193262622</v>
      </c>
      <c r="D313" s="30">
        <v>0.14393867899797624</v>
      </c>
      <c r="E313" s="30">
        <v>0.14327761681013695</v>
      </c>
    </row>
    <row r="314" spans="1:5" ht="25.5">
      <c r="A314" s="43" t="s">
        <v>479</v>
      </c>
      <c r="B314" s="30">
        <f t="shared" si="19"/>
        <v>0.09449086012366524</v>
      </c>
      <c r="C314" s="31">
        <f>VLOOKUP($A$6,data!$A$2:$GZ$32,148,FALSE)</f>
        <v>629.9231900908811</v>
      </c>
      <c r="D314" s="30">
        <v>0.09247957888997241</v>
      </c>
      <c r="E314" s="30">
        <v>0.09705161276179063</v>
      </c>
    </row>
    <row r="315" spans="1:5" ht="51">
      <c r="A315" s="43" t="s">
        <v>480</v>
      </c>
      <c r="B315" s="30">
        <f t="shared" si="19"/>
        <v>0.19236204653123476</v>
      </c>
      <c r="C315" s="31">
        <f>VLOOKUP($A$6,data!$A$2:$GZ$32,149,FALSE)</f>
        <v>1282.3813207412857</v>
      </c>
      <c r="D315" s="30">
        <v>0.26370757180156656</v>
      </c>
      <c r="E315" s="30">
        <v>0.26093702044634115</v>
      </c>
    </row>
  </sheetData>
  <sheetProtection/>
  <mergeCells count="18">
    <mergeCell ref="A108:D108"/>
    <mergeCell ref="A113:D113"/>
    <mergeCell ref="A1:E1"/>
    <mergeCell ref="A2:E2"/>
    <mergeCell ref="A3:E3"/>
    <mergeCell ref="A4:E4"/>
    <mergeCell ref="A8:E8"/>
    <mergeCell ref="B13:C13"/>
    <mergeCell ref="A80:D80"/>
    <mergeCell ref="A129:D129"/>
    <mergeCell ref="B44:C44"/>
    <mergeCell ref="B145:C145"/>
    <mergeCell ref="B306:C306"/>
    <mergeCell ref="B170:C170"/>
    <mergeCell ref="B234:C234"/>
    <mergeCell ref="A54:D54"/>
    <mergeCell ref="A47:D47"/>
    <mergeCell ref="A97:D97"/>
  </mergeCells>
  <dataValidations count="1">
    <dataValidation type="list" allowBlank="1" showInputMessage="1" showErrorMessage="1" sqref="A6">
      <formula1>ASGlist</formula1>
    </dataValidation>
  </dataValidation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V34"/>
  <sheetViews>
    <sheetView zoomScalePageLayoutView="0" workbookViewId="0" topLeftCell="A1">
      <pane xSplit="1" ySplit="1" topLeftCell="GD2" activePane="bottomRight" state="frozen"/>
      <selection pane="topLeft" activeCell="A1" sqref="A1"/>
      <selection pane="topRight" activeCell="B1" sqref="B1"/>
      <selection pane="bottomLeft" activeCell="A2" sqref="A2"/>
      <selection pane="bottomRight" activeCell="A2" sqref="A2:A32"/>
    </sheetView>
  </sheetViews>
  <sheetFormatPr defaultColWidth="9.140625" defaultRowHeight="12.75"/>
  <cols>
    <col min="1" max="1" width="22.00390625" style="5" customWidth="1"/>
    <col min="2" max="2" width="10.00390625" style="5" customWidth="1"/>
    <col min="3" max="16384" width="9.140625" style="5" customWidth="1"/>
  </cols>
  <sheetData>
    <row r="1" spans="1:206" s="4" customFormat="1" ht="127.5">
      <c r="A1" s="4" t="s">
        <v>220</v>
      </c>
      <c r="B1" s="4" t="s">
        <v>295</v>
      </c>
      <c r="C1" s="4" t="s">
        <v>221</v>
      </c>
      <c r="D1" s="4" t="s">
        <v>222</v>
      </c>
      <c r="E1" s="4" t="s">
        <v>107</v>
      </c>
      <c r="F1" s="4" t="s">
        <v>108</v>
      </c>
      <c r="G1" s="4" t="s">
        <v>109</v>
      </c>
      <c r="H1" s="4" t="s">
        <v>110</v>
      </c>
      <c r="I1" s="4" t="s">
        <v>111</v>
      </c>
      <c r="J1" s="4" t="s">
        <v>112</v>
      </c>
      <c r="K1" s="4" t="s">
        <v>113</v>
      </c>
      <c r="L1" s="4" t="s">
        <v>114</v>
      </c>
      <c r="M1" s="4" t="s">
        <v>115</v>
      </c>
      <c r="N1" s="4" t="s">
        <v>116</v>
      </c>
      <c r="O1" s="4" t="s">
        <v>117</v>
      </c>
      <c r="P1" s="4" t="s">
        <v>118</v>
      </c>
      <c r="Q1" s="4" t="s">
        <v>119</v>
      </c>
      <c r="R1" s="4" t="s">
        <v>126</v>
      </c>
      <c r="S1" s="4" t="s">
        <v>120</v>
      </c>
      <c r="T1" s="4" t="s">
        <v>121</v>
      </c>
      <c r="U1" s="4" t="s">
        <v>122</v>
      </c>
      <c r="V1" s="4" t="s">
        <v>123</v>
      </c>
      <c r="W1" s="4" t="s">
        <v>124</v>
      </c>
      <c r="X1" s="4" t="s">
        <v>125</v>
      </c>
      <c r="Y1" s="4" t="s">
        <v>130</v>
      </c>
      <c r="Z1" s="4" t="s">
        <v>127</v>
      </c>
      <c r="AA1" s="4" t="s">
        <v>128</v>
      </c>
      <c r="AB1" s="4" t="s">
        <v>129</v>
      </c>
      <c r="AC1" s="4" t="s">
        <v>302</v>
      </c>
      <c r="AD1" s="4" t="s">
        <v>223</v>
      </c>
      <c r="AE1" s="4" t="s">
        <v>131</v>
      </c>
      <c r="AF1" s="4" t="s">
        <v>132</v>
      </c>
      <c r="AG1" s="4" t="s">
        <v>133</v>
      </c>
      <c r="AH1" s="4" t="s">
        <v>224</v>
      </c>
      <c r="AI1" s="4" t="s">
        <v>134</v>
      </c>
      <c r="AJ1" s="4" t="s">
        <v>135</v>
      </c>
      <c r="AK1" s="4" t="s">
        <v>136</v>
      </c>
      <c r="AL1" s="4" t="s">
        <v>137</v>
      </c>
      <c r="AM1" s="4" t="s">
        <v>138</v>
      </c>
      <c r="AN1" s="4" t="s">
        <v>139</v>
      </c>
      <c r="AO1" s="4" t="s">
        <v>140</v>
      </c>
      <c r="AP1" s="4" t="s">
        <v>141</v>
      </c>
      <c r="AQ1" s="4" t="s">
        <v>142</v>
      </c>
      <c r="AR1" s="4" t="s">
        <v>143</v>
      </c>
      <c r="AS1" s="4" t="s">
        <v>144</v>
      </c>
      <c r="AT1" s="4" t="s">
        <v>145</v>
      </c>
      <c r="AU1" s="4" t="s">
        <v>146</v>
      </c>
      <c r="AV1" s="4" t="s">
        <v>225</v>
      </c>
      <c r="AW1" s="4" t="s">
        <v>158</v>
      </c>
      <c r="AX1" s="4" t="s">
        <v>159</v>
      </c>
      <c r="AY1" s="4" t="s">
        <v>160</v>
      </c>
      <c r="AZ1" s="4" t="s">
        <v>161</v>
      </c>
      <c r="BA1" s="4" t="s">
        <v>162</v>
      </c>
      <c r="BB1" s="4" t="s">
        <v>163</v>
      </c>
      <c r="BC1" s="4" t="s">
        <v>226</v>
      </c>
      <c r="BD1" s="4" t="s">
        <v>164</v>
      </c>
      <c r="BE1" s="4" t="s">
        <v>165</v>
      </c>
      <c r="BF1" s="4" t="s">
        <v>166</v>
      </c>
      <c r="BG1" s="4" t="s">
        <v>167</v>
      </c>
      <c r="BH1" s="4" t="s">
        <v>168</v>
      </c>
      <c r="BI1" s="4" t="s">
        <v>169</v>
      </c>
      <c r="BJ1" s="4" t="s">
        <v>170</v>
      </c>
      <c r="BK1" s="4" t="s">
        <v>171</v>
      </c>
      <c r="BL1" s="4" t="s">
        <v>227</v>
      </c>
      <c r="BM1" s="4" t="s">
        <v>172</v>
      </c>
      <c r="BN1" s="4" t="s">
        <v>173</v>
      </c>
      <c r="BO1" s="4" t="s">
        <v>174</v>
      </c>
      <c r="BP1" s="4" t="s">
        <v>175</v>
      </c>
      <c r="BQ1" s="4" t="s">
        <v>176</v>
      </c>
      <c r="BR1" s="4" t="s">
        <v>177</v>
      </c>
      <c r="BS1" s="4" t="s">
        <v>228</v>
      </c>
      <c r="BT1" s="4" t="s">
        <v>178</v>
      </c>
      <c r="BU1" s="4" t="s">
        <v>179</v>
      </c>
      <c r="BV1" s="4" t="s">
        <v>180</v>
      </c>
      <c r="BW1" s="4" t="s">
        <v>181</v>
      </c>
      <c r="BX1" s="4" t="s">
        <v>182</v>
      </c>
      <c r="BY1" s="4" t="s">
        <v>219</v>
      </c>
      <c r="BZ1" s="4" t="s">
        <v>183</v>
      </c>
      <c r="CA1" s="4" t="s">
        <v>184</v>
      </c>
      <c r="CB1" s="4" t="s">
        <v>185</v>
      </c>
      <c r="CC1" s="4" t="s">
        <v>186</v>
      </c>
      <c r="CD1" s="4" t="s">
        <v>187</v>
      </c>
      <c r="CE1" s="4" t="s">
        <v>100</v>
      </c>
      <c r="CF1" s="4" t="s">
        <v>188</v>
      </c>
      <c r="CG1" s="4" t="s">
        <v>189</v>
      </c>
      <c r="CH1" s="4" t="s">
        <v>190</v>
      </c>
      <c r="CI1" s="4" t="s">
        <v>191</v>
      </c>
      <c r="CJ1" s="4" t="s">
        <v>194</v>
      </c>
      <c r="CK1" s="4" t="s">
        <v>195</v>
      </c>
      <c r="CL1" s="4" t="s">
        <v>196</v>
      </c>
      <c r="CM1" s="4" t="s">
        <v>229</v>
      </c>
      <c r="CN1" s="4" t="s">
        <v>230</v>
      </c>
      <c r="CO1" s="4" t="s">
        <v>231</v>
      </c>
      <c r="CP1" s="4" t="s">
        <v>232</v>
      </c>
      <c r="CQ1" s="4" t="s">
        <v>233</v>
      </c>
      <c r="CR1" s="4" t="s">
        <v>234</v>
      </c>
      <c r="CS1" s="4" t="s">
        <v>235</v>
      </c>
      <c r="CT1" s="4" t="s">
        <v>236</v>
      </c>
      <c r="CU1" s="4" t="s">
        <v>197</v>
      </c>
      <c r="CV1" s="4" t="s">
        <v>237</v>
      </c>
      <c r="CW1" s="4" t="s">
        <v>238</v>
      </c>
      <c r="CX1" s="4" t="s">
        <v>239</v>
      </c>
      <c r="CY1" s="4" t="s">
        <v>240</v>
      </c>
      <c r="CZ1" s="4" t="s">
        <v>241</v>
      </c>
      <c r="DA1" s="4" t="s">
        <v>242</v>
      </c>
      <c r="DB1" s="4" t="s">
        <v>243</v>
      </c>
      <c r="DC1" s="4" t="s">
        <v>244</v>
      </c>
      <c r="DD1" s="4" t="s">
        <v>245</v>
      </c>
      <c r="DE1" s="4" t="s">
        <v>246</v>
      </c>
      <c r="DF1" s="4" t="s">
        <v>199</v>
      </c>
      <c r="DG1" s="4" t="s">
        <v>247</v>
      </c>
      <c r="DH1" s="4" t="s">
        <v>248</v>
      </c>
      <c r="DI1" s="4" t="s">
        <v>249</v>
      </c>
      <c r="DJ1" s="4" t="s">
        <v>200</v>
      </c>
      <c r="DK1" s="4" t="s">
        <v>250</v>
      </c>
      <c r="DL1" s="4" t="s">
        <v>303</v>
      </c>
      <c r="DM1" s="4" t="s">
        <v>201</v>
      </c>
      <c r="DN1" s="4" t="s">
        <v>202</v>
      </c>
      <c r="DO1" s="4" t="s">
        <v>251</v>
      </c>
      <c r="DP1" s="4" t="s">
        <v>252</v>
      </c>
      <c r="DQ1" s="4" t="s">
        <v>203</v>
      </c>
      <c r="DR1" s="4" t="s">
        <v>253</v>
      </c>
      <c r="DS1" s="4" t="s">
        <v>204</v>
      </c>
      <c r="DT1" s="4" t="s">
        <v>205</v>
      </c>
      <c r="DU1" s="4" t="s">
        <v>206</v>
      </c>
      <c r="DV1" s="4" t="s">
        <v>207</v>
      </c>
      <c r="DW1" s="4" t="s">
        <v>208</v>
      </c>
      <c r="DX1" s="4" t="s">
        <v>254</v>
      </c>
      <c r="DY1" s="4" t="s">
        <v>209</v>
      </c>
      <c r="DZ1" s="4" t="s">
        <v>304</v>
      </c>
      <c r="EA1" s="4" t="s">
        <v>210</v>
      </c>
      <c r="EB1" s="4" t="s">
        <v>211</v>
      </c>
      <c r="EC1" s="4" t="s">
        <v>255</v>
      </c>
      <c r="ED1" s="4" t="s">
        <v>256</v>
      </c>
      <c r="EE1" s="4" t="s">
        <v>257</v>
      </c>
      <c r="EF1" s="4" t="s">
        <v>258</v>
      </c>
      <c r="EG1" s="4" t="s">
        <v>259</v>
      </c>
      <c r="EH1" s="4" t="s">
        <v>260</v>
      </c>
      <c r="EI1" s="4" t="s">
        <v>261</v>
      </c>
      <c r="EJ1" s="4" t="s">
        <v>262</v>
      </c>
      <c r="EK1" s="4" t="s">
        <v>263</v>
      </c>
      <c r="EL1" s="4" t="s">
        <v>264</v>
      </c>
      <c r="EM1" s="4" t="s">
        <v>265</v>
      </c>
      <c r="EN1" s="4" t="s">
        <v>21</v>
      </c>
      <c r="EO1" s="4" t="s">
        <v>212</v>
      </c>
      <c r="EP1" s="4" t="s">
        <v>213</v>
      </c>
      <c r="EQ1" s="4" t="s">
        <v>214</v>
      </c>
      <c r="ER1" s="4" t="s">
        <v>215</v>
      </c>
      <c r="ES1" s="4" t="s">
        <v>216</v>
      </c>
      <c r="ET1" s="29" t="s">
        <v>356</v>
      </c>
      <c r="EU1" s="29" t="s">
        <v>357</v>
      </c>
      <c r="EV1" s="29" t="s">
        <v>358</v>
      </c>
      <c r="EW1" s="29" t="s">
        <v>359</v>
      </c>
      <c r="EX1" s="29" t="s">
        <v>360</v>
      </c>
      <c r="EY1" s="29" t="s">
        <v>361</v>
      </c>
      <c r="EZ1" s="29" t="s">
        <v>362</v>
      </c>
      <c r="FA1" s="29" t="s">
        <v>363</v>
      </c>
      <c r="FB1" s="29" t="s">
        <v>364</v>
      </c>
      <c r="FC1" s="29" t="s">
        <v>365</v>
      </c>
      <c r="FD1" s="29" t="s">
        <v>366</v>
      </c>
      <c r="FE1" s="29" t="s">
        <v>367</v>
      </c>
      <c r="FF1" s="29" t="s">
        <v>368</v>
      </c>
      <c r="FG1" s="29" t="s">
        <v>369</v>
      </c>
      <c r="FH1" s="29" t="s">
        <v>370</v>
      </c>
      <c r="FI1" s="29" t="s">
        <v>371</v>
      </c>
      <c r="FJ1" s="29" t="s">
        <v>469</v>
      </c>
      <c r="FK1" s="29" t="s">
        <v>372</v>
      </c>
      <c r="FL1" s="29" t="s">
        <v>373</v>
      </c>
      <c r="FM1" s="29" t="s">
        <v>374</v>
      </c>
      <c r="FN1" s="29" t="s">
        <v>375</v>
      </c>
      <c r="FO1" s="29" t="s">
        <v>376</v>
      </c>
      <c r="FP1" s="29" t="s">
        <v>377</v>
      </c>
      <c r="FQ1" s="29" t="s">
        <v>378</v>
      </c>
      <c r="FR1" s="29" t="s">
        <v>379</v>
      </c>
      <c r="FS1" s="29" t="s">
        <v>380</v>
      </c>
      <c r="FT1" s="29" t="s">
        <v>381</v>
      </c>
      <c r="FU1" s="29" t="s">
        <v>382</v>
      </c>
      <c r="FV1" s="29" t="s">
        <v>383</v>
      </c>
      <c r="FW1" s="29" t="s">
        <v>384</v>
      </c>
      <c r="FX1" s="29" t="s">
        <v>385</v>
      </c>
      <c r="FY1" s="29" t="s">
        <v>386</v>
      </c>
      <c r="FZ1" s="29" t="s">
        <v>387</v>
      </c>
      <c r="GA1" s="29" t="s">
        <v>388</v>
      </c>
      <c r="GB1" s="29" t="s">
        <v>389</v>
      </c>
      <c r="GC1" s="29" t="s">
        <v>390</v>
      </c>
      <c r="GD1" s="29" t="s">
        <v>391</v>
      </c>
      <c r="GE1" s="29" t="s">
        <v>392</v>
      </c>
      <c r="GF1" s="29" t="s">
        <v>393</v>
      </c>
      <c r="GG1" s="29" t="s">
        <v>130</v>
      </c>
      <c r="GH1" s="29" t="s">
        <v>394</v>
      </c>
      <c r="GI1" s="29" t="s">
        <v>395</v>
      </c>
      <c r="GJ1" s="29" t="s">
        <v>396</v>
      </c>
      <c r="GK1" s="29" t="s">
        <v>397</v>
      </c>
      <c r="GL1" s="29" t="s">
        <v>302</v>
      </c>
      <c r="GM1" s="29" t="s">
        <v>6</v>
      </c>
      <c r="GN1" s="29" t="s">
        <v>398</v>
      </c>
      <c r="GO1" s="29" t="s">
        <v>399</v>
      </c>
      <c r="GP1" s="29" t="s">
        <v>400</v>
      </c>
      <c r="GQ1" s="29" t="s">
        <v>401</v>
      </c>
      <c r="GR1" s="29" t="s">
        <v>402</v>
      </c>
      <c r="GS1" s="29" t="s">
        <v>403</v>
      </c>
      <c r="GT1" s="29" t="s">
        <v>404</v>
      </c>
      <c r="GU1" s="29" t="s">
        <v>405</v>
      </c>
      <c r="GV1" s="29" t="s">
        <v>406</v>
      </c>
      <c r="GW1" s="29" t="s">
        <v>407</v>
      </c>
      <c r="GX1" s="29" t="s">
        <v>408</v>
      </c>
    </row>
    <row r="2" spans="1:206" ht="12.75">
      <c r="A2" s="5" t="s">
        <v>266</v>
      </c>
      <c r="B2" s="5">
        <v>473.882482</v>
      </c>
      <c r="C2" s="5">
        <v>8364.721400944403</v>
      </c>
      <c r="D2" s="5">
        <v>544.0911301995586</v>
      </c>
      <c r="E2" s="5">
        <v>1154.1316351469995</v>
      </c>
      <c r="F2" s="5">
        <v>1334.8338553654621</v>
      </c>
      <c r="G2" s="5">
        <v>1654.9912124591667</v>
      </c>
      <c r="H2" s="5">
        <v>1750.0908296356058</v>
      </c>
      <c r="I2" s="5">
        <v>1448.3949014862096</v>
      </c>
      <c r="J2" s="5">
        <v>478.1878366514012</v>
      </c>
      <c r="K2" s="5">
        <v>1698.222765346558</v>
      </c>
      <c r="L2" s="5">
        <v>5367.863041707204</v>
      </c>
      <c r="M2" s="5">
        <v>1298.6355938906422</v>
      </c>
      <c r="N2" s="5">
        <v>4100.601823948619</v>
      </c>
      <c r="O2" s="5">
        <v>4264.119576995785</v>
      </c>
      <c r="P2" s="5">
        <v>8296.424103647107</v>
      </c>
      <c r="Q2" s="5">
        <v>68.29729729729729</v>
      </c>
      <c r="R2" s="5">
        <v>3506.148787066258</v>
      </c>
      <c r="S2" s="5">
        <v>972.4673057605453</v>
      </c>
      <c r="T2" s="5">
        <v>1263.2249286160613</v>
      </c>
      <c r="U2" s="5">
        <v>588.0652896091877</v>
      </c>
      <c r="V2" s="5">
        <v>458.07266529040015</v>
      </c>
      <c r="W2" s="5">
        <v>165.80162383630338</v>
      </c>
      <c r="X2" s="5">
        <v>58.51697395376061</v>
      </c>
      <c r="Y2" s="5">
        <v>2042.8408197486337</v>
      </c>
      <c r="Z2" s="5">
        <v>1006.3331276843129</v>
      </c>
      <c r="AA2" s="5">
        <v>125.01990049751244</v>
      </c>
      <c r="AB2" s="5">
        <v>222.16312317585366</v>
      </c>
      <c r="AC2" s="5">
        <v>73.3089955627269</v>
      </c>
      <c r="AD2" s="5">
        <v>4126.570937047671</v>
      </c>
      <c r="AE2" s="5">
        <v>807.4084268640896</v>
      </c>
      <c r="AF2" s="5">
        <v>1595.737291286018</v>
      </c>
      <c r="AG2" s="5">
        <v>868.2901786773605</v>
      </c>
      <c r="AH2" s="5">
        <v>234.71289023879015</v>
      </c>
      <c r="AI2" s="5">
        <v>4306.435090050542</v>
      </c>
      <c r="AJ2" s="5">
        <v>2526.268296830632</v>
      </c>
      <c r="AK2" s="5">
        <v>1062.0345964928933</v>
      </c>
      <c r="AL2" s="5">
        <v>370.0236575469236</v>
      </c>
      <c r="AM2" s="5">
        <v>99.95976002341234</v>
      </c>
      <c r="AN2" s="5">
        <v>777.1987914165262</v>
      </c>
      <c r="AO2" s="5">
        <v>880.3164582492941</v>
      </c>
      <c r="AP2" s="5">
        <v>6707.206151278583</v>
      </c>
      <c r="AQ2" s="5">
        <v>7643.079641537937</v>
      </c>
      <c r="AR2" s="5">
        <v>362.4894921260154</v>
      </c>
      <c r="AS2" s="5">
        <v>60.937269139200666</v>
      </c>
      <c r="AT2" s="5">
        <v>70.89508340649692</v>
      </c>
      <c r="AU2" s="5">
        <v>227.3199147347523</v>
      </c>
      <c r="AV2" s="5">
        <v>8364.721400944403</v>
      </c>
      <c r="AW2" s="5">
        <v>7017.031373339977</v>
      </c>
      <c r="AX2" s="5">
        <v>904.4484137341907</v>
      </c>
      <c r="AY2" s="5">
        <v>34.02228523519129</v>
      </c>
      <c r="AZ2" s="5">
        <v>198.23880597014926</v>
      </c>
      <c r="BA2" s="5">
        <v>97.77674821441282</v>
      </c>
      <c r="BB2" s="5">
        <v>57.3921568627451</v>
      </c>
      <c r="BC2" s="5">
        <v>8364.721400944403</v>
      </c>
      <c r="BD2" s="5">
        <v>5579.027149625482</v>
      </c>
      <c r="BE2" s="5">
        <v>692.6759129630069</v>
      </c>
      <c r="BF2" s="5">
        <v>1162.26616519944</v>
      </c>
      <c r="BG2" s="5">
        <v>155.53817557680597</v>
      </c>
      <c r="BH2" s="5">
        <v>293.6589231900909</v>
      </c>
      <c r="BI2" s="5">
        <v>184.98098932997965</v>
      </c>
      <c r="BJ2" s="5">
        <v>275.8581061307136</v>
      </c>
      <c r="BK2" s="5">
        <v>20.715978928884986</v>
      </c>
      <c r="BL2" s="5">
        <v>8364.721400944403</v>
      </c>
      <c r="BM2" s="5">
        <v>2865.1933338079084</v>
      </c>
      <c r="BN2" s="5">
        <v>571.2941611497362</v>
      </c>
      <c r="BO2" s="5">
        <v>613.8854218573271</v>
      </c>
      <c r="BP2" s="5">
        <v>16</v>
      </c>
      <c r="BQ2" s="5">
        <v>3594.6203995918654</v>
      </c>
      <c r="BR2" s="5">
        <v>630.9140822121508</v>
      </c>
      <c r="BS2" s="5">
        <v>8364.721400944403</v>
      </c>
      <c r="BT2" s="5">
        <v>6802.854230437637</v>
      </c>
      <c r="BU2" s="5">
        <v>1034.5955160603976</v>
      </c>
      <c r="BV2" s="5">
        <v>47.308691043985164</v>
      </c>
      <c r="BW2" s="5">
        <v>35.051696999897175</v>
      </c>
      <c r="BX2" s="5">
        <v>10.686567164179104</v>
      </c>
      <c r="BY2" s="5">
        <v>278.3456683197684</v>
      </c>
      <c r="BZ2" s="5">
        <v>444.9112664024868</v>
      </c>
      <c r="CA2" s="5">
        <v>63.95522388059702</v>
      </c>
      <c r="CB2" s="5">
        <v>89.3731343283582</v>
      </c>
      <c r="CC2" s="5">
        <v>104.25655506252521</v>
      </c>
      <c r="CD2" s="5">
        <v>187.32635313100633</v>
      </c>
      <c r="CE2" s="5">
        <v>8050.172792634601</v>
      </c>
      <c r="CF2" s="5">
        <v>7909.522969413663</v>
      </c>
      <c r="CG2" s="5">
        <v>107.99028308378617</v>
      </c>
      <c r="CH2" s="5">
        <v>32.65954013715208</v>
      </c>
      <c r="CI2" s="5">
        <v>227.75059915051136</v>
      </c>
      <c r="CJ2" s="5">
        <v>7697.506537265976</v>
      </c>
      <c r="CK2" s="5">
        <v>1983.5675240648902</v>
      </c>
      <c r="CL2" s="5">
        <v>483.20400778302445</v>
      </c>
      <c r="CM2" s="5">
        <v>6188.310798946444</v>
      </c>
      <c r="CN2" s="5">
        <v>938.163736168126</v>
      </c>
      <c r="CO2" s="5">
        <v>2385.6486446938598</v>
      </c>
      <c r="CP2" s="5">
        <v>478.5930759556747</v>
      </c>
      <c r="CQ2" s="5">
        <v>310.2775233530282</v>
      </c>
      <c r="CR2" s="5">
        <v>92.33074294663407</v>
      </c>
      <c r="CS2" s="5">
        <v>23.91044776119403</v>
      </c>
      <c r="CT2" s="5">
        <v>6188.310798946444</v>
      </c>
      <c r="CU2" s="5">
        <v>1959.3866280679274</v>
      </c>
      <c r="CV2" s="5">
        <v>927.0918183328192</v>
      </c>
      <c r="CW2" s="5">
        <v>217.76006691502738</v>
      </c>
      <c r="CX2" s="5">
        <v>341.10642336805637</v>
      </c>
      <c r="CY2" s="5">
        <v>352.22535177846856</v>
      </c>
      <c r="CZ2" s="5">
        <v>121.2029676735559</v>
      </c>
      <c r="DA2" s="5">
        <v>310.2775233530282</v>
      </c>
      <c r="DB2" s="5">
        <v>105.715978928885</v>
      </c>
      <c r="DC2" s="5">
        <v>64.6147640177491</v>
      </c>
      <c r="DD2" s="5">
        <v>32</v>
      </c>
      <c r="DE2" s="5">
        <v>3894.736199764295</v>
      </c>
      <c r="DF2" s="5">
        <v>297.38737156823197</v>
      </c>
      <c r="DG2" s="5">
        <v>848.090821726028</v>
      </c>
      <c r="DH2" s="5">
        <v>667.3374146754304</v>
      </c>
      <c r="DI2" s="5">
        <v>1456.6376859739457</v>
      </c>
      <c r="DJ2" s="5">
        <v>625.2829058206582</v>
      </c>
      <c r="DK2" s="5">
        <v>3894.736199764295</v>
      </c>
      <c r="DL2" s="5">
        <v>99.18426943185504</v>
      </c>
      <c r="DM2" s="5">
        <v>89.7793386011121</v>
      </c>
      <c r="DN2" s="5">
        <v>424.1641909688442</v>
      </c>
      <c r="DO2" s="5">
        <v>21</v>
      </c>
      <c r="DP2" s="5">
        <v>60.95976002341235</v>
      </c>
      <c r="DQ2" s="5">
        <v>462.9500272880431</v>
      </c>
      <c r="DR2" s="5">
        <v>639.6632536838858</v>
      </c>
      <c r="DS2" s="5">
        <v>159.87023546812836</v>
      </c>
      <c r="DT2" s="5">
        <v>211.91003646315326</v>
      </c>
      <c r="DU2" s="5">
        <v>141.20377445048211</v>
      </c>
      <c r="DV2" s="5">
        <v>27.77480245829675</v>
      </c>
      <c r="DW2" s="5">
        <v>52.308457711442784</v>
      </c>
      <c r="DX2" s="5">
        <v>112.1010092621155</v>
      </c>
      <c r="DY2" s="5">
        <v>207.48194243409344</v>
      </c>
      <c r="DZ2" s="5">
        <v>199.1710999849718</v>
      </c>
      <c r="EA2" s="5">
        <v>262.1524571103149</v>
      </c>
      <c r="EB2" s="5">
        <v>539.5372106083256</v>
      </c>
      <c r="EC2" s="5">
        <v>183.52433381581756</v>
      </c>
      <c r="ED2" s="5">
        <v>3894.736199764295</v>
      </c>
      <c r="EE2" s="5">
        <v>274.4720475523812</v>
      </c>
      <c r="EF2" s="5">
        <v>471.6410870923602</v>
      </c>
      <c r="EG2" s="5">
        <v>405.83795648150345</v>
      </c>
      <c r="EH2" s="5">
        <v>311.8511259283867</v>
      </c>
      <c r="EI2" s="5">
        <v>642.8933393446125</v>
      </c>
      <c r="EJ2" s="5">
        <v>436.62377698154694</v>
      </c>
      <c r="EK2" s="5">
        <v>412.6863615151587</v>
      </c>
      <c r="EL2" s="5">
        <v>458.13609614882665</v>
      </c>
      <c r="EM2" s="5">
        <v>480.59440871951847</v>
      </c>
      <c r="EN2" s="5">
        <v>6666.498635597844</v>
      </c>
      <c r="EO2" s="5">
        <v>2069.960100135254</v>
      </c>
      <c r="EP2" s="5">
        <v>1801.7686053041627</v>
      </c>
      <c r="EQ2" s="5">
        <v>882.4654193262622</v>
      </c>
      <c r="ER2" s="5">
        <v>629.9231900908811</v>
      </c>
      <c r="ES2" s="5">
        <v>1282.3813207412857</v>
      </c>
      <c r="ET2" s="11">
        <v>3621.0746268656717</v>
      </c>
      <c r="EU2" s="11">
        <v>3506.148787066258</v>
      </c>
      <c r="EV2" s="11">
        <v>114.92583979941311</v>
      </c>
      <c r="EW2" s="11">
        <v>32.00692088049419</v>
      </c>
      <c r="EX2" s="11">
        <v>82.91891891891892</v>
      </c>
      <c r="EY2" s="11">
        <v>3506.148787066258</v>
      </c>
      <c r="EZ2" s="11">
        <v>1233.5198214017353</v>
      </c>
      <c r="FA2" s="11">
        <v>1196.5153168972308</v>
      </c>
      <c r="FB2" s="11">
        <v>889.4872220772132</v>
      </c>
      <c r="FC2" s="11">
        <v>184.626426690079</v>
      </c>
      <c r="FD2" s="11">
        <v>2</v>
      </c>
      <c r="FE2" s="11">
        <v>395.25026299345876</v>
      </c>
      <c r="FF2" s="11">
        <v>577.2170427670867</v>
      </c>
      <c r="FG2" s="11">
        <v>249.94247759612117</v>
      </c>
      <c r="FH2" s="11">
        <v>516.1828931653338</v>
      </c>
      <c r="FI2" s="11">
        <v>508.1578712162557</v>
      </c>
      <c r="FJ2" s="11">
        <v>214.05730093570304</v>
      </c>
      <c r="FK2" s="11">
        <v>172.23298056616758</v>
      </c>
      <c r="FL2" s="11">
        <v>204.36015471133996</v>
      </c>
      <c r="FM2" s="11">
        <v>19.955223880597014</v>
      </c>
      <c r="FN2" s="11">
        <v>322.31864129274135</v>
      </c>
      <c r="FO2" s="11">
        <v>143.33527908944941</v>
      </c>
      <c r="FP2" s="11">
        <v>61.55462354364901</v>
      </c>
      <c r="FQ2" s="11">
        <v>1</v>
      </c>
      <c r="FR2" s="11">
        <v>10</v>
      </c>
      <c r="FS2" s="11">
        <v>110.58403530835488</v>
      </c>
      <c r="FT2" s="11">
        <v>3506.148787066258</v>
      </c>
      <c r="FU2" s="11">
        <v>195.91044776119404</v>
      </c>
      <c r="FV2" s="11">
        <v>1096.391290763986</v>
      </c>
      <c r="FW2" s="11">
        <v>435.1629333459886</v>
      </c>
      <c r="FX2" s="11">
        <v>269.030084078811</v>
      </c>
      <c r="FY2" s="11">
        <v>320.31864129274135</v>
      </c>
      <c r="FZ2" s="11">
        <v>119.31908027430416</v>
      </c>
      <c r="GA2" s="11">
        <v>54.0891132572432</v>
      </c>
      <c r="GB2" s="11">
        <v>146.91044776119404</v>
      </c>
      <c r="GC2" s="11">
        <v>212.12306116476444</v>
      </c>
      <c r="GD2" s="11">
        <v>183.12720182869435</v>
      </c>
      <c r="GE2" s="11">
        <v>254.16874293081494</v>
      </c>
      <c r="GF2" s="11">
        <v>858.3194599340342</v>
      </c>
      <c r="GG2" s="11">
        <v>545.5504670605636</v>
      </c>
      <c r="GH2" s="11">
        <v>1</v>
      </c>
      <c r="GI2" s="11">
        <v>223</v>
      </c>
      <c r="GJ2" s="11">
        <v>33.33333333333333</v>
      </c>
      <c r="GK2" s="11">
        <v>27.507462686567166</v>
      </c>
      <c r="GL2" s="11">
        <v>27.928196853569986</v>
      </c>
      <c r="GM2" s="11">
        <v>5308.538349587516</v>
      </c>
      <c r="GN2" s="11">
        <v>701.4155217552934</v>
      </c>
      <c r="GO2" s="11">
        <v>1</v>
      </c>
      <c r="GP2" s="11">
        <v>102.68525021949078</v>
      </c>
      <c r="GQ2" s="11">
        <v>328.00877963125555</v>
      </c>
      <c r="GR2" s="11">
        <v>40.865671641791046</v>
      </c>
      <c r="GS2" s="11">
        <v>2310.614799610849</v>
      </c>
      <c r="GT2" s="11">
        <v>629.4258991212458</v>
      </c>
      <c r="GU2" s="11">
        <v>12.955223880597014</v>
      </c>
      <c r="GV2" s="11">
        <v>76.65822319246375</v>
      </c>
      <c r="GW2" s="11">
        <v>1014.1173069469821</v>
      </c>
      <c r="GX2" s="11">
        <v>90.79167358754715</v>
      </c>
    </row>
    <row r="3" spans="1:206" ht="12.75">
      <c r="A3" s="5" t="s">
        <v>267</v>
      </c>
      <c r="B3" s="5">
        <v>1261.224676</v>
      </c>
      <c r="C3" s="5">
        <v>1998.4982911825018</v>
      </c>
      <c r="D3" s="5">
        <v>94.92984083585587</v>
      </c>
      <c r="E3" s="5">
        <v>256.8625622497803</v>
      </c>
      <c r="F3" s="5">
        <v>197.7905477980666</v>
      </c>
      <c r="G3" s="5">
        <v>319.70842691143446</v>
      </c>
      <c r="H3" s="5">
        <v>505.1613123718387</v>
      </c>
      <c r="I3" s="5">
        <v>462.4282784884289</v>
      </c>
      <c r="J3" s="5">
        <v>161.61732252709697</v>
      </c>
      <c r="K3" s="5">
        <v>351.7924030856361</v>
      </c>
      <c r="L3" s="5">
        <v>1205.2776096084367</v>
      </c>
      <c r="M3" s="5">
        <v>441.4282784884289</v>
      </c>
      <c r="N3" s="5">
        <v>980.2482179474661</v>
      </c>
      <c r="O3" s="5">
        <v>1018.2500732350356</v>
      </c>
      <c r="P3" s="5">
        <v>1970.9528366370473</v>
      </c>
      <c r="Q3" s="5">
        <v>27.545454545454547</v>
      </c>
      <c r="R3" s="5">
        <v>902.9825700615174</v>
      </c>
      <c r="S3" s="5">
        <v>296.65696709305735</v>
      </c>
      <c r="T3" s="5">
        <v>359.33839468801875</v>
      </c>
      <c r="U3" s="5">
        <v>101.18909286202519</v>
      </c>
      <c r="V3" s="5">
        <v>94.93877551020408</v>
      </c>
      <c r="W3" s="5">
        <v>35.85933990821209</v>
      </c>
      <c r="X3" s="5">
        <v>15</v>
      </c>
      <c r="Y3" s="5">
        <v>593.887901572112</v>
      </c>
      <c r="Z3" s="5">
        <v>70.85343228200371</v>
      </c>
      <c r="AA3" s="5">
        <v>70.15247534420467</v>
      </c>
      <c r="AB3" s="5">
        <v>95.28556781564299</v>
      </c>
      <c r="AC3" s="5">
        <v>51.96020896396836</v>
      </c>
      <c r="AD3" s="5">
        <v>1293.5796797187775</v>
      </c>
      <c r="AE3" s="5">
        <v>108.94722195098134</v>
      </c>
      <c r="AF3" s="5">
        <v>414.3016307001269</v>
      </c>
      <c r="AG3" s="5">
        <v>295.2469485401816</v>
      </c>
      <c r="AH3" s="5">
        <v>84.48676887022751</v>
      </c>
      <c r="AI3" s="5">
        <v>1077.2964554242749</v>
      </c>
      <c r="AJ3" s="5">
        <v>605.7093057318621</v>
      </c>
      <c r="AK3" s="5">
        <v>223.74045503368814</v>
      </c>
      <c r="AL3" s="5">
        <v>74.36212283956645</v>
      </c>
      <c r="AM3" s="5">
        <v>17.38995215311005</v>
      </c>
      <c r="AN3" s="5">
        <v>155.5279269602578</v>
      </c>
      <c r="AO3" s="5">
        <v>220.08470852455815</v>
      </c>
      <c r="AP3" s="5">
        <v>1622.8856556976857</v>
      </c>
      <c r="AQ3" s="5">
        <v>1819.6933893174494</v>
      </c>
      <c r="AR3" s="5">
        <v>99.52035933990821</v>
      </c>
      <c r="AS3" s="5">
        <v>8.18772580802656</v>
      </c>
      <c r="AT3" s="5">
        <v>12.608534322820038</v>
      </c>
      <c r="AU3" s="5">
        <v>58.48828239429743</v>
      </c>
      <c r="AV3" s="5">
        <v>1998.4982911825018</v>
      </c>
      <c r="AW3" s="5">
        <v>1359.8416170295868</v>
      </c>
      <c r="AX3" s="5">
        <v>572.9250073235035</v>
      </c>
      <c r="AY3" s="5">
        <v>15.098330241187384</v>
      </c>
      <c r="AZ3" s="5">
        <v>8</v>
      </c>
      <c r="BA3" s="5">
        <v>31.60702079875012</v>
      </c>
      <c r="BB3" s="5">
        <v>6.026315789473684</v>
      </c>
      <c r="BC3" s="5">
        <v>1998.4982911825018</v>
      </c>
      <c r="BD3" s="5">
        <v>1022.8358558734499</v>
      </c>
      <c r="BE3" s="5">
        <v>359.8740357386974</v>
      </c>
      <c r="BF3" s="5">
        <v>251.1170784103115</v>
      </c>
      <c r="BG3" s="5">
        <v>64.21555512157016</v>
      </c>
      <c r="BH3" s="5">
        <v>162.7797578361488</v>
      </c>
      <c r="BI3" s="5">
        <v>91.73469387755102</v>
      </c>
      <c r="BJ3" s="5">
        <v>41.451518406405626</v>
      </c>
      <c r="BK3" s="5">
        <v>4.4897959183673475</v>
      </c>
      <c r="BL3" s="5">
        <v>1998.4982911825018</v>
      </c>
      <c r="BM3" s="5">
        <v>735.5272922566155</v>
      </c>
      <c r="BN3" s="5">
        <v>206.06615564886243</v>
      </c>
      <c r="BO3" s="5">
        <v>202.14373596328483</v>
      </c>
      <c r="BP3" s="5">
        <v>1</v>
      </c>
      <c r="BQ3" s="5">
        <v>652.3881945122546</v>
      </c>
      <c r="BR3" s="5">
        <v>183.82745825602967</v>
      </c>
      <c r="BS3" s="5">
        <v>1998.4982911825018</v>
      </c>
      <c r="BT3" s="5">
        <v>1297.774631383654</v>
      </c>
      <c r="BU3" s="5">
        <v>582.0874426325554</v>
      </c>
      <c r="BV3" s="5">
        <v>18.608534322820038</v>
      </c>
      <c r="BW3" s="5">
        <v>12.85343228200371</v>
      </c>
      <c r="BX3" s="5">
        <v>8.244897959183673</v>
      </c>
      <c r="BY3" s="5">
        <v>38.60702079875013</v>
      </c>
      <c r="BZ3" s="5">
        <v>87.1742505614686</v>
      </c>
      <c r="CA3" s="5">
        <v>13</v>
      </c>
      <c r="CB3" s="5">
        <v>9.208133971291865</v>
      </c>
      <c r="CC3" s="5">
        <v>8.389952153110048</v>
      </c>
      <c r="CD3" s="5">
        <v>56.576164437066694</v>
      </c>
      <c r="CE3" s="5">
        <v>1943.2549067473878</v>
      </c>
      <c r="CF3" s="5">
        <v>1922.2549067473878</v>
      </c>
      <c r="CG3" s="5">
        <v>14</v>
      </c>
      <c r="CH3" s="5">
        <v>7</v>
      </c>
      <c r="CI3" s="5">
        <v>328.07035445757253</v>
      </c>
      <c r="CJ3" s="5">
        <v>1509.6903622693098</v>
      </c>
      <c r="CK3" s="5">
        <v>305.3660775314911</v>
      </c>
      <c r="CL3" s="5">
        <v>243.47329362366958</v>
      </c>
      <c r="CM3" s="5">
        <v>1485.0885655697684</v>
      </c>
      <c r="CN3" s="5">
        <v>209.51782052533935</v>
      </c>
      <c r="CO3" s="5">
        <v>437.93174494678254</v>
      </c>
      <c r="CP3" s="5">
        <v>310.89581095596134</v>
      </c>
      <c r="CQ3" s="5">
        <v>33.75358851674641</v>
      </c>
      <c r="CR3" s="5">
        <v>19.63485011229372</v>
      </c>
      <c r="CS3" s="5">
        <v>3.2448979591836737</v>
      </c>
      <c r="CT3" s="5">
        <v>1485.0885655697684</v>
      </c>
      <c r="CU3" s="5">
        <v>470.10985255346156</v>
      </c>
      <c r="CV3" s="5">
        <v>307.7989942388439</v>
      </c>
      <c r="CW3" s="5">
        <v>47.633336588223806</v>
      </c>
      <c r="CX3" s="5">
        <v>40.49721706864564</v>
      </c>
      <c r="CY3" s="5">
        <v>52.998486475930086</v>
      </c>
      <c r="CZ3" s="5">
        <v>21.18181818181818</v>
      </c>
      <c r="DA3" s="5">
        <v>33.75358851674641</v>
      </c>
      <c r="DB3" s="5">
        <v>5</v>
      </c>
      <c r="DC3" s="5">
        <v>14.389952153110048</v>
      </c>
      <c r="DD3" s="5">
        <v>3</v>
      </c>
      <c r="DE3" s="5">
        <v>977.9802265403769</v>
      </c>
      <c r="DF3" s="5">
        <v>102.5205058099795</v>
      </c>
      <c r="DG3" s="5">
        <v>225.57196562835662</v>
      </c>
      <c r="DH3" s="5">
        <v>131.5457963089542</v>
      </c>
      <c r="DI3" s="5">
        <v>313.94136314813005</v>
      </c>
      <c r="DJ3" s="5">
        <v>204.40059564495655</v>
      </c>
      <c r="DK3" s="5">
        <v>977.9802265403769</v>
      </c>
      <c r="DL3" s="5">
        <v>131.35489698271653</v>
      </c>
      <c r="DM3" s="5">
        <v>7</v>
      </c>
      <c r="DN3" s="5">
        <v>32.55726979787131</v>
      </c>
      <c r="DO3" s="5">
        <v>1.4267161410018554</v>
      </c>
      <c r="DP3" s="5">
        <v>8.73469387755102</v>
      </c>
      <c r="DQ3" s="5">
        <v>88.6571135631286</v>
      </c>
      <c r="DR3" s="5">
        <v>73.31388536275755</v>
      </c>
      <c r="DS3" s="5">
        <v>80.92090616150767</v>
      </c>
      <c r="DT3" s="5">
        <v>119.81652182404062</v>
      </c>
      <c r="DU3" s="5">
        <v>11.489795918367347</v>
      </c>
      <c r="DV3" s="5">
        <v>6.4897959183673475</v>
      </c>
      <c r="DW3" s="5">
        <v>34.38843862904014</v>
      </c>
      <c r="DX3" s="5">
        <v>29.12464603066107</v>
      </c>
      <c r="DY3" s="5">
        <v>45.150961820134754</v>
      </c>
      <c r="DZ3" s="5">
        <v>41.64378478664193</v>
      </c>
      <c r="EA3" s="5">
        <v>80.02074992676496</v>
      </c>
      <c r="EB3" s="5">
        <v>124.28454252514403</v>
      </c>
      <c r="EC3" s="5">
        <v>61.605507274680214</v>
      </c>
      <c r="ED3" s="5">
        <v>977.9802265403769</v>
      </c>
      <c r="EE3" s="5">
        <v>119.15535592227322</v>
      </c>
      <c r="EF3" s="5">
        <v>132.65408651498876</v>
      </c>
      <c r="EG3" s="5">
        <v>89.30089834977053</v>
      </c>
      <c r="EH3" s="5">
        <v>65.83741822087687</v>
      </c>
      <c r="EI3" s="5">
        <v>173.0597597890831</v>
      </c>
      <c r="EJ3" s="5">
        <v>108.89459037203397</v>
      </c>
      <c r="EK3" s="5">
        <v>42.09681671711747</v>
      </c>
      <c r="EL3" s="5">
        <v>104.84786641929499</v>
      </c>
      <c r="EM3" s="5">
        <v>142.133434234938</v>
      </c>
      <c r="EN3" s="5">
        <v>1646.7058880968657</v>
      </c>
      <c r="EO3" s="5">
        <v>342.7924030856361</v>
      </c>
      <c r="EP3" s="5">
        <v>381.1763011424665</v>
      </c>
      <c r="EQ3" s="5">
        <v>232.1889463919539</v>
      </c>
      <c r="ER3" s="5">
        <v>140.3813592422615</v>
      </c>
      <c r="ES3" s="5">
        <v>550.1668782345475</v>
      </c>
      <c r="ET3" s="11">
        <v>1265.5466263060248</v>
      </c>
      <c r="EU3" s="11">
        <v>902.9825700615174</v>
      </c>
      <c r="EV3" s="11">
        <v>362.56405624450736</v>
      </c>
      <c r="EW3" s="11">
        <v>319.60536080460895</v>
      </c>
      <c r="EX3" s="11">
        <v>42.95869543989845</v>
      </c>
      <c r="EY3" s="11">
        <v>902.9825700615174</v>
      </c>
      <c r="EZ3" s="11">
        <v>597.9032809295967</v>
      </c>
      <c r="FA3" s="11">
        <v>231.59100673762327</v>
      </c>
      <c r="FB3" s="11">
        <v>31.879748071477394</v>
      </c>
      <c r="FC3" s="11">
        <v>27.363636363636363</v>
      </c>
      <c r="FD3" s="11">
        <v>14.244897959183675</v>
      </c>
      <c r="FE3" s="11">
        <v>135.80065423298507</v>
      </c>
      <c r="FF3" s="11">
        <v>160.85631286007225</v>
      </c>
      <c r="FG3" s="11">
        <v>96.82257592032028</v>
      </c>
      <c r="FH3" s="11">
        <v>156.9133385411581</v>
      </c>
      <c r="FI3" s="11">
        <v>121.76979787130162</v>
      </c>
      <c r="FJ3" s="11">
        <v>32.31539888682746</v>
      </c>
      <c r="FK3" s="11">
        <v>49.296016014061124</v>
      </c>
      <c r="FL3" s="11">
        <v>39.56029684601113</v>
      </c>
      <c r="FM3" s="11">
        <v>4</v>
      </c>
      <c r="FN3" s="11">
        <v>42.24338443511376</v>
      </c>
      <c r="FO3" s="11">
        <v>29.426716141001855</v>
      </c>
      <c r="FP3" s="11">
        <v>7.244897959183674</v>
      </c>
      <c r="FQ3" s="11">
        <v>0</v>
      </c>
      <c r="FR3" s="11">
        <v>4.208133971291867</v>
      </c>
      <c r="FS3" s="11">
        <v>22.525046382189238</v>
      </c>
      <c r="FT3" s="11">
        <v>902.9825700615174</v>
      </c>
      <c r="FU3" s="11">
        <v>13.545454545454545</v>
      </c>
      <c r="FV3" s="11">
        <v>210.81837711161018</v>
      </c>
      <c r="FW3" s="11">
        <v>73.32130651303584</v>
      </c>
      <c r="FX3" s="11">
        <v>42.941314324772975</v>
      </c>
      <c r="FY3" s="11">
        <v>42.24338443511376</v>
      </c>
      <c r="FZ3" s="11">
        <v>23.879748071477394</v>
      </c>
      <c r="GA3" s="11">
        <v>11</v>
      </c>
      <c r="GB3" s="11">
        <v>7.363636363636363</v>
      </c>
      <c r="GC3" s="11">
        <v>68.46787423103213</v>
      </c>
      <c r="GD3" s="11">
        <v>67.33278000195294</v>
      </c>
      <c r="GE3" s="11">
        <v>88.28454252514403</v>
      </c>
      <c r="GF3" s="11">
        <v>302.5382286886046</v>
      </c>
      <c r="GG3" s="11">
        <v>236.5427692608144</v>
      </c>
      <c r="GH3" s="11">
        <v>3.2448979591836737</v>
      </c>
      <c r="GI3" s="11">
        <v>22.244897959183675</v>
      </c>
      <c r="GJ3" s="11">
        <v>10.426716141001855</v>
      </c>
      <c r="GK3" s="11">
        <v>21.026315789473685</v>
      </c>
      <c r="GL3" s="11">
        <v>9.052631578947368</v>
      </c>
      <c r="GM3" s="11">
        <v>1293.9659212967483</v>
      </c>
      <c r="GN3" s="11">
        <v>388.3879992188263</v>
      </c>
      <c r="GO3" s="11">
        <v>1</v>
      </c>
      <c r="GP3" s="11">
        <v>3.8429840835855873</v>
      </c>
      <c r="GQ3" s="11">
        <v>120.40210916902646</v>
      </c>
      <c r="GR3" s="11">
        <v>7.608534322820038</v>
      </c>
      <c r="GS3" s="11">
        <v>497.4174885265111</v>
      </c>
      <c r="GT3" s="11">
        <v>99.04857924030856</v>
      </c>
      <c r="GU3" s="11">
        <v>2.2448979591836737</v>
      </c>
      <c r="GV3" s="11">
        <v>28.18181818181818</v>
      </c>
      <c r="GW3" s="11">
        <v>125.7331803534811</v>
      </c>
      <c r="GX3" s="11">
        <v>20.098330241187384</v>
      </c>
    </row>
    <row r="4" spans="1:206" ht="12.75">
      <c r="A4" s="5" t="s">
        <v>268</v>
      </c>
      <c r="B4" s="5">
        <v>514.915998</v>
      </c>
      <c r="C4" s="5">
        <v>12337.616988936255</v>
      </c>
      <c r="D4" s="5">
        <v>564.9918131396905</v>
      </c>
      <c r="E4" s="5">
        <v>1346.3226495450926</v>
      </c>
      <c r="F4" s="5">
        <v>1851.0902360259734</v>
      </c>
      <c r="G4" s="5">
        <v>2283.9555477169306</v>
      </c>
      <c r="H4" s="5">
        <v>3153.7177340451667</v>
      </c>
      <c r="I4" s="5">
        <v>2180.022933818912</v>
      </c>
      <c r="J4" s="5">
        <v>957.5160746444882</v>
      </c>
      <c r="K4" s="5">
        <v>1911.314462684783</v>
      </c>
      <c r="L4" s="5">
        <v>8225.797399075602</v>
      </c>
      <c r="M4" s="5">
        <v>2200.5051271758693</v>
      </c>
      <c r="N4" s="5">
        <v>6081.050688532752</v>
      </c>
      <c r="O4" s="5">
        <v>6256.566300403503</v>
      </c>
      <c r="P4" s="5">
        <v>12129.704708234502</v>
      </c>
      <c r="Q4" s="5">
        <v>207.91228070175438</v>
      </c>
      <c r="R4" s="5">
        <v>5414.5476499667175</v>
      </c>
      <c r="S4" s="5">
        <v>1681.4089731106365</v>
      </c>
      <c r="T4" s="5">
        <v>1993.6943914203969</v>
      </c>
      <c r="U4" s="5">
        <v>837.0675816198036</v>
      </c>
      <c r="V4" s="5">
        <v>636.5866807017875</v>
      </c>
      <c r="W4" s="5">
        <v>209.6928813407711</v>
      </c>
      <c r="X4" s="5">
        <v>56.09714177332102</v>
      </c>
      <c r="Y4" s="5">
        <v>4071.98696024267</v>
      </c>
      <c r="Z4" s="5">
        <v>401.90056622870674</v>
      </c>
      <c r="AA4" s="5">
        <v>187.69230769230768</v>
      </c>
      <c r="AB4" s="5">
        <v>580.9703963572013</v>
      </c>
      <c r="AC4" s="5">
        <v>88.21390882784874</v>
      </c>
      <c r="AD4" s="5">
        <v>7136.733760479839</v>
      </c>
      <c r="AE4" s="5">
        <v>922.3425884815284</v>
      </c>
      <c r="AF4" s="5">
        <v>2500.92437740181</v>
      </c>
      <c r="AG4" s="5">
        <v>1541.4280377186533</v>
      </c>
      <c r="AH4" s="5">
        <v>449.8526463647243</v>
      </c>
      <c r="AI4" s="5">
        <v>6659.704774446011</v>
      </c>
      <c r="AJ4" s="5">
        <v>3747.89865174134</v>
      </c>
      <c r="AK4" s="5">
        <v>1379.3466039008986</v>
      </c>
      <c r="AL4" s="5">
        <v>399.97468270309633</v>
      </c>
      <c r="AM4" s="5">
        <v>150.69227614490774</v>
      </c>
      <c r="AN4" s="5">
        <v>984.0023162330883</v>
      </c>
      <c r="AO4" s="5">
        <v>1301.7063360051072</v>
      </c>
      <c r="AP4" s="5">
        <v>10051.90833669806</v>
      </c>
      <c r="AQ4" s="5">
        <v>11167.065836521968</v>
      </c>
      <c r="AR4" s="5">
        <v>695.1611586568018</v>
      </c>
      <c r="AS4" s="5">
        <v>95.27932067932068</v>
      </c>
      <c r="AT4" s="5">
        <v>74.05384247910317</v>
      </c>
      <c r="AU4" s="5">
        <v>306.05683059906</v>
      </c>
      <c r="AV4" s="5">
        <v>12337.616988936255</v>
      </c>
      <c r="AW4" s="5">
        <v>10051.235013422525</v>
      </c>
      <c r="AX4" s="5">
        <v>1624.5905780374874</v>
      </c>
      <c r="AY4" s="5">
        <v>80.61634247910317</v>
      </c>
      <c r="AZ4" s="5">
        <v>188.7791648933655</v>
      </c>
      <c r="BA4" s="5">
        <v>213.5617801554619</v>
      </c>
      <c r="BB4" s="5">
        <v>98.12823059099125</v>
      </c>
      <c r="BC4" s="5">
        <v>12337.616988936255</v>
      </c>
      <c r="BD4" s="5">
        <v>7741.886571100201</v>
      </c>
      <c r="BE4" s="5">
        <v>1236.9329485187109</v>
      </c>
      <c r="BF4" s="5">
        <v>1894.9711484353118</v>
      </c>
      <c r="BG4" s="5">
        <v>274.81313092733154</v>
      </c>
      <c r="BH4" s="5">
        <v>432.12640776965503</v>
      </c>
      <c r="BI4" s="5">
        <v>336.12771113361975</v>
      </c>
      <c r="BJ4" s="5">
        <v>383.0667633591169</v>
      </c>
      <c r="BK4" s="5">
        <v>37.69230769230769</v>
      </c>
      <c r="BL4" s="5">
        <v>12337.616988936255</v>
      </c>
      <c r="BM4" s="5">
        <v>4506.470856919479</v>
      </c>
      <c r="BN4" s="5">
        <v>1055.192325813875</v>
      </c>
      <c r="BO4" s="5">
        <v>1091.4305521687845</v>
      </c>
      <c r="BP4" s="5">
        <v>32</v>
      </c>
      <c r="BQ4" s="5">
        <v>4551.98862615372</v>
      </c>
      <c r="BR4" s="5">
        <v>1010.0291333749007</v>
      </c>
      <c r="BS4" s="5">
        <v>12337.616988936255</v>
      </c>
      <c r="BT4" s="5">
        <v>9748.296041380003</v>
      </c>
      <c r="BU4" s="5">
        <v>1760.624604318224</v>
      </c>
      <c r="BV4" s="5">
        <v>60.71682067932068</v>
      </c>
      <c r="BW4" s="5">
        <v>77.59747455457486</v>
      </c>
      <c r="BX4" s="5">
        <v>32.87007914296892</v>
      </c>
      <c r="BY4" s="5">
        <v>355.18279727554807</v>
      </c>
      <c r="BZ4" s="5">
        <v>688.3820480041309</v>
      </c>
      <c r="CA4" s="5">
        <v>69.01621979476994</v>
      </c>
      <c r="CB4" s="5">
        <v>157.47400755070817</v>
      </c>
      <c r="CC4" s="5">
        <v>160.72474728184758</v>
      </c>
      <c r="CD4" s="5">
        <v>301.16707337680526</v>
      </c>
      <c r="CE4" s="5">
        <v>12021.728063239309</v>
      </c>
      <c r="CF4" s="5">
        <v>11882.914587869926</v>
      </c>
      <c r="CG4" s="5">
        <v>124.81347536938401</v>
      </c>
      <c r="CH4" s="5">
        <v>14</v>
      </c>
      <c r="CI4" s="5">
        <v>508.47254809490414</v>
      </c>
      <c r="CJ4" s="5">
        <v>11291.337525161036</v>
      </c>
      <c r="CK4" s="5">
        <v>2365.0677566392565</v>
      </c>
      <c r="CL4" s="5">
        <v>723.6774078577827</v>
      </c>
      <c r="CM4" s="5">
        <v>9468.786451606982</v>
      </c>
      <c r="CN4" s="5">
        <v>1402.8860378821776</v>
      </c>
      <c r="CO4" s="5">
        <v>4046.9127802146545</v>
      </c>
      <c r="CP4" s="5">
        <v>972.1939930145987</v>
      </c>
      <c r="CQ4" s="5">
        <v>316.81853809050926</v>
      </c>
      <c r="CR4" s="5">
        <v>167.40264297106404</v>
      </c>
      <c r="CS4" s="5">
        <v>28.714285714285715</v>
      </c>
      <c r="CT4" s="5">
        <v>9468.786451606982</v>
      </c>
      <c r="CU4" s="5">
        <v>2533.8581737196932</v>
      </c>
      <c r="CV4" s="5">
        <v>1407.0654937540116</v>
      </c>
      <c r="CW4" s="5">
        <v>301.7096469816182</v>
      </c>
      <c r="CX4" s="5">
        <v>284.27586227493134</v>
      </c>
      <c r="CY4" s="5">
        <v>368.0806972529291</v>
      </c>
      <c r="CZ4" s="5">
        <v>172.72647345620285</v>
      </c>
      <c r="DA4" s="5">
        <v>316.81853809050926</v>
      </c>
      <c r="DB4" s="5">
        <v>92.53383458646617</v>
      </c>
      <c r="DC4" s="5">
        <v>85.1329177897574</v>
      </c>
      <c r="DD4" s="5">
        <v>28.714285714285715</v>
      </c>
      <c r="DE4" s="5">
        <v>6589.395454082494</v>
      </c>
      <c r="DF4" s="5">
        <v>485.9670834131112</v>
      </c>
      <c r="DG4" s="5">
        <v>1314.2079352540873</v>
      </c>
      <c r="DH4" s="5">
        <v>1280.9341541320314</v>
      </c>
      <c r="DI4" s="5">
        <v>2558.1532274701467</v>
      </c>
      <c r="DJ4" s="5">
        <v>950.1330538131184</v>
      </c>
      <c r="DK4" s="5">
        <v>6589.395454082494</v>
      </c>
      <c r="DL4" s="5">
        <v>151.81019275742463</v>
      </c>
      <c r="DM4" s="5">
        <v>60.71682067932068</v>
      </c>
      <c r="DN4" s="5">
        <v>325.1751747549041</v>
      </c>
      <c r="DO4" s="5">
        <v>50.33865914786968</v>
      </c>
      <c r="DP4" s="5">
        <v>38</v>
      </c>
      <c r="DQ4" s="5">
        <v>705.8828604199508</v>
      </c>
      <c r="DR4" s="5">
        <v>1146.614274619786</v>
      </c>
      <c r="DS4" s="5">
        <v>365.7478902262914</v>
      </c>
      <c r="DT4" s="5">
        <v>371.480497312188</v>
      </c>
      <c r="DU4" s="5">
        <v>174.05802360499482</v>
      </c>
      <c r="DV4" s="5">
        <v>89.87272727272727</v>
      </c>
      <c r="DW4" s="5">
        <v>103.71201793489529</v>
      </c>
      <c r="DX4" s="5">
        <v>296.05097324886304</v>
      </c>
      <c r="DY4" s="5">
        <v>245.262874555104</v>
      </c>
      <c r="DZ4" s="5">
        <v>482.49996906850185</v>
      </c>
      <c r="EA4" s="5">
        <v>479.33304554184645</v>
      </c>
      <c r="EB4" s="5">
        <v>1163.079120060674</v>
      </c>
      <c r="EC4" s="5">
        <v>339.7603328771527</v>
      </c>
      <c r="ED4" s="5">
        <v>6589.395454082494</v>
      </c>
      <c r="EE4" s="5">
        <v>557.1470990115479</v>
      </c>
      <c r="EF4" s="5">
        <v>1034.7039943381678</v>
      </c>
      <c r="EG4" s="5">
        <v>747.972357057871</v>
      </c>
      <c r="EH4" s="5">
        <v>799.8360756257975</v>
      </c>
      <c r="EI4" s="5">
        <v>1070.5484240312817</v>
      </c>
      <c r="EJ4" s="5">
        <v>674.6263007308811</v>
      </c>
      <c r="EK4" s="5">
        <v>551.7099672050888</v>
      </c>
      <c r="EL4" s="5">
        <v>524.153574235265</v>
      </c>
      <c r="EM4" s="5">
        <v>628.6976618465944</v>
      </c>
      <c r="EN4" s="5">
        <v>10426.302526251471</v>
      </c>
      <c r="EO4" s="5">
        <v>2489.995564399189</v>
      </c>
      <c r="EP4" s="5">
        <v>2540.1526462531183</v>
      </c>
      <c r="EQ4" s="5">
        <v>1639.5443479931191</v>
      </c>
      <c r="ER4" s="5">
        <v>945.5820348800487</v>
      </c>
      <c r="ES4" s="5">
        <v>2811.0279327259964</v>
      </c>
      <c r="ET4" s="11">
        <v>5655.950615422313</v>
      </c>
      <c r="EU4" s="11">
        <v>5414.5476499667175</v>
      </c>
      <c r="EV4" s="11">
        <v>241.40296545559707</v>
      </c>
      <c r="EW4" s="11">
        <v>51.00671609092662</v>
      </c>
      <c r="EX4" s="11">
        <v>190.3962493646704</v>
      </c>
      <c r="EY4" s="11">
        <v>5412.5476499667175</v>
      </c>
      <c r="EZ4" s="11">
        <v>2269.451336308511</v>
      </c>
      <c r="FA4" s="11">
        <v>1669.0140567021526</v>
      </c>
      <c r="FB4" s="11">
        <v>702.6811299838856</v>
      </c>
      <c r="FC4" s="11">
        <v>705.1693080835087</v>
      </c>
      <c r="FD4" s="11">
        <v>66.23181888865851</v>
      </c>
      <c r="FE4" s="11">
        <v>665.9780122972029</v>
      </c>
      <c r="FF4" s="11">
        <v>1015.4309608134336</v>
      </c>
      <c r="FG4" s="11">
        <v>419.69704038926983</v>
      </c>
      <c r="FH4" s="11">
        <v>894.1668581211902</v>
      </c>
      <c r="FI4" s="11">
        <v>760.996896123572</v>
      </c>
      <c r="FJ4" s="11">
        <v>400.0449410032205</v>
      </c>
      <c r="FK4" s="11">
        <v>310.19452960148095</v>
      </c>
      <c r="FL4" s="11">
        <v>195.67343976777937</v>
      </c>
      <c r="FM4" s="11">
        <v>26.81562998405104</v>
      </c>
      <c r="FN4" s="11">
        <v>259.8434741689955</v>
      </c>
      <c r="FO4" s="11">
        <v>187.63001849606863</v>
      </c>
      <c r="FP4" s="11">
        <v>82.8440934065934</v>
      </c>
      <c r="FQ4" s="11">
        <v>0</v>
      </c>
      <c r="FR4" s="11">
        <v>21.87272727272727</v>
      </c>
      <c r="FS4" s="11">
        <v>173.3590285211313</v>
      </c>
      <c r="FT4" s="11">
        <v>5414.5476499667175</v>
      </c>
      <c r="FU4" s="11">
        <v>104.41705497415528</v>
      </c>
      <c r="FV4" s="11">
        <v>1299.3579034669403</v>
      </c>
      <c r="FW4" s="11">
        <v>463.4456460991839</v>
      </c>
      <c r="FX4" s="11">
        <v>281.89263962617986</v>
      </c>
      <c r="FY4" s="11">
        <v>259.8434741689955</v>
      </c>
      <c r="FZ4" s="11">
        <v>105.93389252257177</v>
      </c>
      <c r="GA4" s="11">
        <v>84.14709851551956</v>
      </c>
      <c r="GB4" s="11">
        <v>69.76248313090419</v>
      </c>
      <c r="GC4" s="11">
        <v>291.6251365152557</v>
      </c>
      <c r="GD4" s="11">
        <v>374.35287578194726</v>
      </c>
      <c r="GE4" s="11">
        <v>478.3561813186813</v>
      </c>
      <c r="GF4" s="11">
        <v>1390.6980156677153</v>
      </c>
      <c r="GG4" s="11">
        <v>1102.2229827975732</v>
      </c>
      <c r="GH4" s="11">
        <v>9</v>
      </c>
      <c r="GI4" s="11">
        <v>137.07055578896444</v>
      </c>
      <c r="GJ4" s="11">
        <v>31</v>
      </c>
      <c r="GK4" s="11">
        <v>77.67454670453677</v>
      </c>
      <c r="GL4" s="11">
        <v>33.7299303766409</v>
      </c>
      <c r="GM4" s="11">
        <v>8285.853211940326</v>
      </c>
      <c r="GN4" s="11">
        <v>991.4779589782942</v>
      </c>
      <c r="GO4" s="11">
        <v>5</v>
      </c>
      <c r="GP4" s="11">
        <v>160.64339043115112</v>
      </c>
      <c r="GQ4" s="11">
        <v>914.5189622649777</v>
      </c>
      <c r="GR4" s="11">
        <v>26.016219794769945</v>
      </c>
      <c r="GS4" s="11">
        <v>4025.5461891303007</v>
      </c>
      <c r="GT4" s="11">
        <v>741.8860696403895</v>
      </c>
      <c r="GU4" s="11">
        <v>19.40659340659341</v>
      </c>
      <c r="GV4" s="11">
        <v>213.37688566398845</v>
      </c>
      <c r="GW4" s="11">
        <v>1106.7115928510416</v>
      </c>
      <c r="GX4" s="11">
        <v>81.26934977882098</v>
      </c>
    </row>
    <row r="5" spans="1:206" ht="12.75">
      <c r="A5" s="5" t="s">
        <v>269</v>
      </c>
      <c r="B5" s="5">
        <v>135.687404</v>
      </c>
      <c r="C5" s="5">
        <v>17228.873454043707</v>
      </c>
      <c r="D5" s="5">
        <v>1100.8765972026345</v>
      </c>
      <c r="E5" s="5">
        <v>2232.0074472354313</v>
      </c>
      <c r="F5" s="5">
        <v>2829.154550100475</v>
      </c>
      <c r="G5" s="5">
        <v>3774.12523323906</v>
      </c>
      <c r="H5" s="5">
        <v>3893.4873193554954</v>
      </c>
      <c r="I5" s="5">
        <v>2445.159654941754</v>
      </c>
      <c r="J5" s="5">
        <v>954.0626519688603</v>
      </c>
      <c r="K5" s="5">
        <v>3332.8840444380653</v>
      </c>
      <c r="L5" s="5">
        <v>11633.43786037936</v>
      </c>
      <c r="M5" s="5">
        <v>2262.551549226284</v>
      </c>
      <c r="N5" s="5">
        <v>8435.936611193552</v>
      </c>
      <c r="O5" s="5">
        <v>8792.936842850157</v>
      </c>
      <c r="P5" s="5">
        <v>17049.813681065352</v>
      </c>
      <c r="Q5" s="5">
        <v>179.0597729783593</v>
      </c>
      <c r="R5" s="5">
        <v>7175.118957808409</v>
      </c>
      <c r="S5" s="5">
        <v>1912.912752519379</v>
      </c>
      <c r="T5" s="5">
        <v>2574.8371999165774</v>
      </c>
      <c r="U5" s="5">
        <v>1262.8404871034274</v>
      </c>
      <c r="V5" s="5">
        <v>1035.2637479874923</v>
      </c>
      <c r="W5" s="5">
        <v>304.5734015773635</v>
      </c>
      <c r="X5" s="5">
        <v>84.69136870416848</v>
      </c>
      <c r="Y5" s="5">
        <v>5370.015633214635</v>
      </c>
      <c r="Z5" s="5">
        <v>598.7712182457326</v>
      </c>
      <c r="AA5" s="5">
        <v>246.95181422351232</v>
      </c>
      <c r="AB5" s="5">
        <v>827.1561635248911</v>
      </c>
      <c r="AC5" s="5">
        <v>70.91177304094413</v>
      </c>
      <c r="AD5" s="5">
        <v>9683.767594005847</v>
      </c>
      <c r="AE5" s="5">
        <v>1002.7560308975783</v>
      </c>
      <c r="AF5" s="5">
        <v>3425.048118701387</v>
      </c>
      <c r="AG5" s="5">
        <v>2180.341116040534</v>
      </c>
      <c r="AH5" s="5">
        <v>566.9736921689082</v>
      </c>
      <c r="AI5" s="5">
        <v>10114.322137438463</v>
      </c>
      <c r="AJ5" s="5">
        <v>4904.234097719542</v>
      </c>
      <c r="AK5" s="5">
        <v>1592.5835822316776</v>
      </c>
      <c r="AL5" s="5">
        <v>487.0249743351887</v>
      </c>
      <c r="AM5" s="5">
        <v>130.70866231883875</v>
      </c>
      <c r="AN5" s="5">
        <v>1072.311438207735</v>
      </c>
      <c r="AO5" s="5">
        <v>1532.2399210851538</v>
      </c>
      <c r="AP5" s="5">
        <v>14624.32209475082</v>
      </c>
      <c r="AQ5" s="5">
        <v>15767.419629904403</v>
      </c>
      <c r="AR5" s="5">
        <v>876.612911655528</v>
      </c>
      <c r="AS5" s="5">
        <v>122.69812516396517</v>
      </c>
      <c r="AT5" s="5">
        <v>107.12766240054162</v>
      </c>
      <c r="AU5" s="5">
        <v>355.01512491927264</v>
      </c>
      <c r="AV5" s="5">
        <v>17228.873454043707</v>
      </c>
      <c r="AW5" s="5">
        <v>14379.862504389517</v>
      </c>
      <c r="AX5" s="5">
        <v>1907.8049766373022</v>
      </c>
      <c r="AY5" s="5">
        <v>104.77147447408122</v>
      </c>
      <c r="AZ5" s="5">
        <v>215.39443994206945</v>
      </c>
      <c r="BA5" s="5">
        <v>267.1450429378498</v>
      </c>
      <c r="BB5" s="5">
        <v>208.8006760402482</v>
      </c>
      <c r="BC5" s="5">
        <v>17228.873454043707</v>
      </c>
      <c r="BD5" s="5">
        <v>10904.139525096723</v>
      </c>
      <c r="BE5" s="5">
        <v>1543.893871339113</v>
      </c>
      <c r="BF5" s="5">
        <v>2953.4401615636316</v>
      </c>
      <c r="BG5" s="5">
        <v>309.83082129776824</v>
      </c>
      <c r="BH5" s="5">
        <v>570.3642326366094</v>
      </c>
      <c r="BI5" s="5">
        <v>384.3354710797073</v>
      </c>
      <c r="BJ5" s="5">
        <v>529.1977292391101</v>
      </c>
      <c r="BK5" s="5">
        <v>33.67164179104478</v>
      </c>
      <c r="BL5" s="5">
        <v>17228.873454043707</v>
      </c>
      <c r="BM5" s="5">
        <v>6230.371251774423</v>
      </c>
      <c r="BN5" s="5">
        <v>1251.0407029622324</v>
      </c>
      <c r="BO5" s="5">
        <v>1458.0720321299498</v>
      </c>
      <c r="BP5" s="5">
        <v>80.17960812772134</v>
      </c>
      <c r="BQ5" s="5">
        <v>6831.100920220148</v>
      </c>
      <c r="BR5" s="5">
        <v>1257.41278498308</v>
      </c>
      <c r="BS5" s="5">
        <v>17228.873454043707</v>
      </c>
      <c r="BT5" s="5">
        <v>13905.722910286724</v>
      </c>
      <c r="BU5" s="5">
        <v>2155.6108168814735</v>
      </c>
      <c r="BV5" s="5">
        <v>73.50617915040836</v>
      </c>
      <c r="BW5" s="5">
        <v>106.31049730026976</v>
      </c>
      <c r="BX5" s="5">
        <v>44.47133225755255</v>
      </c>
      <c r="BY5" s="5">
        <v>459.3428513256458</v>
      </c>
      <c r="BZ5" s="5">
        <v>987.5384350402184</v>
      </c>
      <c r="CA5" s="5">
        <v>93.95815513303214</v>
      </c>
      <c r="CB5" s="5">
        <v>226.03454676823156</v>
      </c>
      <c r="CC5" s="5">
        <v>224.54123688123076</v>
      </c>
      <c r="CD5" s="5">
        <v>443.004496257724</v>
      </c>
      <c r="CE5" s="5">
        <v>16587.552149134262</v>
      </c>
      <c r="CF5" s="5">
        <v>16435.725267525304</v>
      </c>
      <c r="CG5" s="5">
        <v>132.82688160895708</v>
      </c>
      <c r="CH5" s="5">
        <v>19</v>
      </c>
      <c r="CI5" s="5">
        <v>664.7778575957598</v>
      </c>
      <c r="CJ5" s="5">
        <v>15701.424516148247</v>
      </c>
      <c r="CK5" s="5">
        <v>3595.7770795817178</v>
      </c>
      <c r="CL5" s="5">
        <v>1044.390438166795</v>
      </c>
      <c r="CM5" s="5">
        <v>12941.926757636786</v>
      </c>
      <c r="CN5" s="5">
        <v>2053.5231767947826</v>
      </c>
      <c r="CO5" s="5">
        <v>6098.230287306549</v>
      </c>
      <c r="CP5" s="5">
        <v>1112.2785788748242</v>
      </c>
      <c r="CQ5" s="5">
        <v>399.30963632262393</v>
      </c>
      <c r="CR5" s="5">
        <v>246.35339893151502</v>
      </c>
      <c r="CS5" s="5">
        <v>48.471698113207545</v>
      </c>
      <c r="CT5" s="5">
        <v>12941.926757636786</v>
      </c>
      <c r="CU5" s="5">
        <v>2983.7599812932817</v>
      </c>
      <c r="CV5" s="5">
        <v>1522.5375129860477</v>
      </c>
      <c r="CW5" s="5">
        <v>453.13963195935054</v>
      </c>
      <c r="CX5" s="5">
        <v>418.89352301929466</v>
      </c>
      <c r="CY5" s="5">
        <v>419.15058851698353</v>
      </c>
      <c r="CZ5" s="5">
        <v>170.0387248116052</v>
      </c>
      <c r="DA5" s="5">
        <v>399.30963632262393</v>
      </c>
      <c r="DB5" s="5">
        <v>131.01217042104852</v>
      </c>
      <c r="DC5" s="5">
        <v>76.84303775073475</v>
      </c>
      <c r="DD5" s="5">
        <v>44.304067895815045</v>
      </c>
      <c r="DE5" s="5">
        <v>9510.385441907669</v>
      </c>
      <c r="DF5" s="5">
        <v>593.4122727869911</v>
      </c>
      <c r="DG5" s="5">
        <v>1951.5281849828684</v>
      </c>
      <c r="DH5" s="5">
        <v>1831.3002217760543</v>
      </c>
      <c r="DI5" s="5">
        <v>3860.4162420339276</v>
      </c>
      <c r="DJ5" s="5">
        <v>1273.7285203278298</v>
      </c>
      <c r="DK5" s="5">
        <v>9510.385441907669</v>
      </c>
      <c r="DL5" s="5">
        <v>226.71367342568357</v>
      </c>
      <c r="DM5" s="5">
        <v>98.54752875315204</v>
      </c>
      <c r="DN5" s="5">
        <v>534.8318560615371</v>
      </c>
      <c r="DO5" s="5">
        <v>65.08011049585089</v>
      </c>
      <c r="DP5" s="5">
        <v>75.49624226348365</v>
      </c>
      <c r="DQ5" s="5">
        <v>828.9135462129659</v>
      </c>
      <c r="DR5" s="5">
        <v>1734.2343645255607</v>
      </c>
      <c r="DS5" s="5">
        <v>541.8932140817528</v>
      </c>
      <c r="DT5" s="5">
        <v>545.3317495737217</v>
      </c>
      <c r="DU5" s="5">
        <v>241.18878243392643</v>
      </c>
      <c r="DV5" s="5">
        <v>174.01195017177113</v>
      </c>
      <c r="DW5" s="5">
        <v>82.7207634299389</v>
      </c>
      <c r="DX5" s="5">
        <v>390.58895668765166</v>
      </c>
      <c r="DY5" s="5">
        <v>385.3009239970278</v>
      </c>
      <c r="DZ5" s="5">
        <v>863.1372451353716</v>
      </c>
      <c r="EA5" s="5">
        <v>641.073078356827</v>
      </c>
      <c r="EB5" s="5">
        <v>1670.244334856897</v>
      </c>
      <c r="EC5" s="5">
        <v>411.0771214445506</v>
      </c>
      <c r="ED5" s="5">
        <v>9510.385441907669</v>
      </c>
      <c r="EE5" s="5">
        <v>817.024573443285</v>
      </c>
      <c r="EF5" s="5">
        <v>1532.2193070882633</v>
      </c>
      <c r="EG5" s="5">
        <v>1262.699241201953</v>
      </c>
      <c r="EH5" s="5">
        <v>1118.366042726499</v>
      </c>
      <c r="EI5" s="5">
        <v>1292.3181163259487</v>
      </c>
      <c r="EJ5" s="5">
        <v>900.1288173480142</v>
      </c>
      <c r="EK5" s="5">
        <v>907.6622512344334</v>
      </c>
      <c r="EL5" s="5">
        <v>748.9854508003039</v>
      </c>
      <c r="EM5" s="5">
        <v>930.9816417389702</v>
      </c>
      <c r="EN5" s="5">
        <v>13895.989409605643</v>
      </c>
      <c r="EO5" s="5">
        <v>2870.899025903084</v>
      </c>
      <c r="EP5" s="5">
        <v>3547.974926160734</v>
      </c>
      <c r="EQ5" s="5">
        <v>2200.961654726679</v>
      </c>
      <c r="ER5" s="5">
        <v>1428.214828815684</v>
      </c>
      <c r="ES5" s="5">
        <v>3847.938973999463</v>
      </c>
      <c r="ET5" s="11">
        <v>7348.3090571126595</v>
      </c>
      <c r="EU5" s="11">
        <v>7175.118957808409</v>
      </c>
      <c r="EV5" s="11">
        <v>173.19009930425284</v>
      </c>
      <c r="EW5" s="11">
        <v>43.357960999024996</v>
      </c>
      <c r="EX5" s="11">
        <v>129.83213830522783</v>
      </c>
      <c r="EY5" s="11">
        <v>7175.118957808409</v>
      </c>
      <c r="EZ5" s="11">
        <v>3291.2458858143114</v>
      </c>
      <c r="FA5" s="11">
        <v>1871.6609612124366</v>
      </c>
      <c r="FB5" s="11">
        <v>1098.5590988507204</v>
      </c>
      <c r="FC5" s="11">
        <v>908.765811022685</v>
      </c>
      <c r="FD5" s="11">
        <v>4.88720090825354</v>
      </c>
      <c r="FE5" s="11">
        <v>625.4186657973648</v>
      </c>
      <c r="FF5" s="11">
        <v>1287.4940867220141</v>
      </c>
      <c r="FG5" s="11">
        <v>494.74703397813505</v>
      </c>
      <c r="FH5" s="11">
        <v>1145.8523278828902</v>
      </c>
      <c r="FI5" s="11">
        <v>1293.3164416554814</v>
      </c>
      <c r="FJ5" s="11">
        <v>454.58674081064987</v>
      </c>
      <c r="FK5" s="11">
        <v>426.78010337388173</v>
      </c>
      <c r="FL5" s="11">
        <v>345.6229762653797</v>
      </c>
      <c r="FM5" s="11">
        <v>50.031688001611485</v>
      </c>
      <c r="FN5" s="11">
        <v>449.2831736053483</v>
      </c>
      <c r="FO5" s="11">
        <v>256.0205184917718</v>
      </c>
      <c r="FP5" s="11">
        <v>140.66973770359013</v>
      </c>
      <c r="FQ5" s="11">
        <v>1</v>
      </c>
      <c r="FR5" s="11">
        <v>19</v>
      </c>
      <c r="FS5" s="11">
        <v>185.29546352028888</v>
      </c>
      <c r="FT5" s="11">
        <v>7175.118957808409</v>
      </c>
      <c r="FU5" s="11">
        <v>172.38323605817445</v>
      </c>
      <c r="FV5" s="11">
        <v>2228.8923292297995</v>
      </c>
      <c r="FW5" s="11">
        <v>895.2672583985085</v>
      </c>
      <c r="FX5" s="11">
        <v>457.7429715365421</v>
      </c>
      <c r="FY5" s="11">
        <v>448.2831736053483</v>
      </c>
      <c r="FZ5" s="11">
        <v>179.8773085302497</v>
      </c>
      <c r="GA5" s="11">
        <v>131.88789962048878</v>
      </c>
      <c r="GB5" s="11">
        <v>136.51796545460982</v>
      </c>
      <c r="GC5" s="11">
        <v>284.25987051111235</v>
      </c>
      <c r="GD5" s="11">
        <v>341.15879528625254</v>
      </c>
      <c r="GE5" s="11">
        <v>575.1961643749154</v>
      </c>
      <c r="GF5" s="11">
        <v>1463.6512660410422</v>
      </c>
      <c r="GG5" s="11">
        <v>1188.8458359825727</v>
      </c>
      <c r="GH5" s="11">
        <v>3</v>
      </c>
      <c r="GI5" s="11">
        <v>140.8465185654975</v>
      </c>
      <c r="GJ5" s="11">
        <v>28</v>
      </c>
      <c r="GK5" s="11">
        <v>67.3935268775873</v>
      </c>
      <c r="GL5" s="11">
        <v>35.565384615384616</v>
      </c>
      <c r="GM5" s="11">
        <v>12300.300631040285</v>
      </c>
      <c r="GN5" s="11">
        <v>1335.278441576832</v>
      </c>
      <c r="GO5" s="11">
        <v>2.9607843137254903</v>
      </c>
      <c r="GP5" s="11">
        <v>118.64729256799562</v>
      </c>
      <c r="GQ5" s="11">
        <v>1366.2175320884708</v>
      </c>
      <c r="GR5" s="11">
        <v>46.39827179890024</v>
      </c>
      <c r="GS5" s="11">
        <v>6086.067296478948</v>
      </c>
      <c r="GT5" s="11">
        <v>1326.8876961593066</v>
      </c>
      <c r="GU5" s="11">
        <v>45.12751322751323</v>
      </c>
      <c r="GV5" s="11">
        <v>326.3119783800863</v>
      </c>
      <c r="GW5" s="11">
        <v>1493.9656566740057</v>
      </c>
      <c r="GX5" s="11">
        <v>152.43816777450138</v>
      </c>
    </row>
    <row r="6" spans="1:206" ht="12.75">
      <c r="A6" s="5" t="s">
        <v>270</v>
      </c>
      <c r="B6" s="5">
        <v>898.335445</v>
      </c>
      <c r="C6" s="5">
        <v>16552.938018745815</v>
      </c>
      <c r="D6" s="5">
        <v>867.769751186464</v>
      </c>
      <c r="E6" s="5">
        <v>2122.1728975045176</v>
      </c>
      <c r="F6" s="5">
        <v>2525.143590046208</v>
      </c>
      <c r="G6" s="5">
        <v>2940.0363938841615</v>
      </c>
      <c r="H6" s="5">
        <v>3798.0680880265613</v>
      </c>
      <c r="I6" s="5">
        <v>2899.257091115432</v>
      </c>
      <c r="J6" s="5">
        <v>1400.4902069824734</v>
      </c>
      <c r="K6" s="5">
        <v>2989.9426486909815</v>
      </c>
      <c r="L6" s="5">
        <v>10439.848947501705</v>
      </c>
      <c r="M6" s="5">
        <v>3123.146422553133</v>
      </c>
      <c r="N6" s="5">
        <v>8070.274087173058</v>
      </c>
      <c r="O6" s="5">
        <v>8482.663931572759</v>
      </c>
      <c r="P6" s="5">
        <v>16314.938018745817</v>
      </c>
      <c r="Q6" s="5">
        <v>238</v>
      </c>
      <c r="R6" s="5">
        <v>7018.273304403829</v>
      </c>
      <c r="S6" s="5">
        <v>2012.5971596771067</v>
      </c>
      <c r="T6" s="5">
        <v>2588.4210839653842</v>
      </c>
      <c r="U6" s="5">
        <v>1118.3755837746749</v>
      </c>
      <c r="V6" s="5">
        <v>859.8278261759906</v>
      </c>
      <c r="W6" s="5">
        <v>342.48680586385206</v>
      </c>
      <c r="X6" s="5">
        <v>96.56484494682016</v>
      </c>
      <c r="Y6" s="5">
        <v>4900.995173639553</v>
      </c>
      <c r="Z6" s="5">
        <v>984.6268508994616</v>
      </c>
      <c r="AA6" s="5">
        <v>281</v>
      </c>
      <c r="AB6" s="5">
        <v>602.8153920646037</v>
      </c>
      <c r="AC6" s="5">
        <v>159.98064695896304</v>
      </c>
      <c r="AD6" s="5">
        <v>9455.86442030526</v>
      </c>
      <c r="AE6" s="5">
        <v>1200.7580209811854</v>
      </c>
      <c r="AF6" s="5">
        <v>3135.28553780115</v>
      </c>
      <c r="AG6" s="5">
        <v>1990.4411677994608</v>
      </c>
      <c r="AH6" s="5">
        <v>691.7885778220335</v>
      </c>
      <c r="AI6" s="5">
        <v>9178.839751389678</v>
      </c>
      <c r="AJ6" s="5">
        <v>4817.5763653715085</v>
      </c>
      <c r="AK6" s="5">
        <v>1901.2961471965684</v>
      </c>
      <c r="AL6" s="5">
        <v>470.15364075621056</v>
      </c>
      <c r="AM6" s="5">
        <v>185.07211403185164</v>
      </c>
      <c r="AN6" s="5">
        <v>1227.8463281362356</v>
      </c>
      <c r="AO6" s="5">
        <v>1673.6271466557037</v>
      </c>
      <c r="AP6" s="5">
        <v>13651.464543953878</v>
      </c>
      <c r="AQ6" s="5">
        <v>15095.975954173415</v>
      </c>
      <c r="AR6" s="5">
        <v>873.3812150235417</v>
      </c>
      <c r="AS6" s="5">
        <v>119.29240334773557</v>
      </c>
      <c r="AT6" s="5">
        <v>108.81273744911805</v>
      </c>
      <c r="AU6" s="5">
        <v>355.47570875200864</v>
      </c>
      <c r="AV6" s="5">
        <v>16552.938018745815</v>
      </c>
      <c r="AW6" s="5">
        <v>13661.373819788781</v>
      </c>
      <c r="AX6" s="5">
        <v>2132.331749323137</v>
      </c>
      <c r="AY6" s="5">
        <v>91.55139296187683</v>
      </c>
      <c r="AZ6" s="5">
        <v>214.42004264392324</v>
      </c>
      <c r="BA6" s="5">
        <v>255.26392907165052</v>
      </c>
      <c r="BB6" s="5">
        <v>125</v>
      </c>
      <c r="BC6" s="5">
        <v>16552.938018745815</v>
      </c>
      <c r="BD6" s="5">
        <v>10679.021607869743</v>
      </c>
      <c r="BE6" s="5">
        <v>1509.5739780621402</v>
      </c>
      <c r="BF6" s="5">
        <v>2455.3041509826235</v>
      </c>
      <c r="BG6" s="5">
        <v>392.0684553770736</v>
      </c>
      <c r="BH6" s="5">
        <v>616.5340934102009</v>
      </c>
      <c r="BI6" s="5">
        <v>410.81880678300996</v>
      </c>
      <c r="BJ6" s="5">
        <v>462.1669262610283</v>
      </c>
      <c r="BK6" s="5">
        <v>27.45</v>
      </c>
      <c r="BL6" s="5">
        <v>16552.938018745815</v>
      </c>
      <c r="BM6" s="5">
        <v>7078.44411324713</v>
      </c>
      <c r="BN6" s="5">
        <v>993.4247673967823</v>
      </c>
      <c r="BO6" s="5">
        <v>1480.7112032526934</v>
      </c>
      <c r="BP6" s="5">
        <v>50</v>
      </c>
      <c r="BQ6" s="5">
        <v>5605.776976971031</v>
      </c>
      <c r="BR6" s="5">
        <v>1247.4346584265518</v>
      </c>
      <c r="BS6" s="5">
        <v>16552.938018745815</v>
      </c>
      <c r="BT6" s="5">
        <v>13302.971297888438</v>
      </c>
      <c r="BU6" s="5">
        <v>2308.1662064103443</v>
      </c>
      <c r="BV6" s="5">
        <v>64.10957792207793</v>
      </c>
      <c r="BW6" s="5">
        <v>61.436876832844575</v>
      </c>
      <c r="BX6" s="5">
        <v>43.551392961876836</v>
      </c>
      <c r="BY6" s="5">
        <v>453.02402019020934</v>
      </c>
      <c r="BZ6" s="5">
        <v>816.2540596921134</v>
      </c>
      <c r="CA6" s="5">
        <v>129.91574386133846</v>
      </c>
      <c r="CB6" s="5">
        <v>192.5232142857143</v>
      </c>
      <c r="CC6" s="5">
        <v>121.5168249660787</v>
      </c>
      <c r="CD6" s="5">
        <v>372.29827657898187</v>
      </c>
      <c r="CE6" s="5">
        <v>16044.362008610073</v>
      </c>
      <c r="CF6" s="5">
        <v>15819.31899202146</v>
      </c>
      <c r="CG6" s="5">
        <v>188.04301658861118</v>
      </c>
      <c r="CH6" s="5">
        <v>37</v>
      </c>
      <c r="CI6" s="5">
        <v>744.6440400896647</v>
      </c>
      <c r="CJ6" s="5">
        <v>15047.185496845472</v>
      </c>
      <c r="CK6" s="5">
        <v>3317.8568910266426</v>
      </c>
      <c r="CL6" s="5">
        <v>1048.003988723121</v>
      </c>
      <c r="CM6" s="5">
        <v>12162.505163072365</v>
      </c>
      <c r="CN6" s="5">
        <v>1857.3096410751018</v>
      </c>
      <c r="CO6" s="5">
        <v>4898.611012308587</v>
      </c>
      <c r="CP6" s="5">
        <v>1279.346232234304</v>
      </c>
      <c r="CQ6" s="5">
        <v>442.7584718843987</v>
      </c>
      <c r="CR6" s="5">
        <v>178.17139949602634</v>
      </c>
      <c r="CS6" s="5">
        <v>31.670354501059844</v>
      </c>
      <c r="CT6" s="5">
        <v>12162.505163072365</v>
      </c>
      <c r="CU6" s="5">
        <v>3474.638051572885</v>
      </c>
      <c r="CV6" s="5">
        <v>1931.106397760881</v>
      </c>
      <c r="CW6" s="5">
        <v>401.56493631549</v>
      </c>
      <c r="CX6" s="5">
        <v>469.8573134797316</v>
      </c>
      <c r="CY6" s="5">
        <v>461.7472705856974</v>
      </c>
      <c r="CZ6" s="5">
        <v>210.36213343108506</v>
      </c>
      <c r="DA6" s="5">
        <v>442.7584718843987</v>
      </c>
      <c r="DB6" s="5">
        <v>118.56512358609133</v>
      </c>
      <c r="DC6" s="5">
        <v>99.79299040511728</v>
      </c>
      <c r="DD6" s="5">
        <v>36.86665270213657</v>
      </c>
      <c r="DE6" s="5">
        <v>8213.43828511402</v>
      </c>
      <c r="DF6" s="5">
        <v>637.7088559610828</v>
      </c>
      <c r="DG6" s="5">
        <v>1709.4511570759528</v>
      </c>
      <c r="DH6" s="5">
        <v>1520.5334447629887</v>
      </c>
      <c r="DI6" s="5">
        <v>3107.8355092728652</v>
      </c>
      <c r="DJ6" s="5">
        <v>1237.9093180411307</v>
      </c>
      <c r="DK6" s="5">
        <v>8213.43828511402</v>
      </c>
      <c r="DL6" s="5">
        <v>291.8143620762964</v>
      </c>
      <c r="DM6" s="5">
        <v>81.00889949602636</v>
      </c>
      <c r="DN6" s="5">
        <v>608.950345075002</v>
      </c>
      <c r="DO6" s="5">
        <v>95.68506493506493</v>
      </c>
      <c r="DP6" s="5">
        <v>84.08955223880596</v>
      </c>
      <c r="DQ6" s="5">
        <v>1007.2017201383113</v>
      </c>
      <c r="DR6" s="5">
        <v>1328.0129463699518</v>
      </c>
      <c r="DS6" s="5">
        <v>311.0553612853204</v>
      </c>
      <c r="DT6" s="5">
        <v>521.918091700067</v>
      </c>
      <c r="DU6" s="5">
        <v>165.14276991665054</v>
      </c>
      <c r="DV6" s="5">
        <v>80.86818181818182</v>
      </c>
      <c r="DW6" s="5">
        <v>87.46256518517592</v>
      </c>
      <c r="DX6" s="5">
        <v>408.9665958018871</v>
      </c>
      <c r="DY6" s="5">
        <v>361.34705932007324</v>
      </c>
      <c r="DZ6" s="5">
        <v>622.1229269707183</v>
      </c>
      <c r="EA6" s="5">
        <v>611.2690088257914</v>
      </c>
      <c r="EB6" s="5">
        <v>1188.809793877283</v>
      </c>
      <c r="EC6" s="5">
        <v>357.713040083412</v>
      </c>
      <c r="ED6" s="5">
        <v>8213.43828511402</v>
      </c>
      <c r="EE6" s="5">
        <v>694.2356225262461</v>
      </c>
      <c r="EF6" s="5">
        <v>1216.6927276322617</v>
      </c>
      <c r="EG6" s="5">
        <v>807.0602857361703</v>
      </c>
      <c r="EH6" s="5">
        <v>867.8170147377898</v>
      </c>
      <c r="EI6" s="5">
        <v>1496.033074598728</v>
      </c>
      <c r="EJ6" s="5">
        <v>818.1175727197694</v>
      </c>
      <c r="EK6" s="5">
        <v>764.7705459141242</v>
      </c>
      <c r="EL6" s="5">
        <v>728.791569618393</v>
      </c>
      <c r="EM6" s="5">
        <v>819.919871630536</v>
      </c>
      <c r="EN6" s="5">
        <v>13562.99537005484</v>
      </c>
      <c r="EO6" s="5">
        <v>3608.343044882417</v>
      </c>
      <c r="EP6" s="5">
        <v>3379.669417991734</v>
      </c>
      <c r="EQ6" s="5">
        <v>1941.8073520906155</v>
      </c>
      <c r="ER6" s="5">
        <v>1180.6872868585435</v>
      </c>
      <c r="ES6" s="5">
        <v>3452.488268231528</v>
      </c>
      <c r="ET6" s="11">
        <v>7325.376846756999</v>
      </c>
      <c r="EU6" s="11">
        <v>7018.273304403829</v>
      </c>
      <c r="EV6" s="11">
        <v>307.1035423531692</v>
      </c>
      <c r="EW6" s="11">
        <v>83.58049040511727</v>
      </c>
      <c r="EX6" s="11">
        <v>223.52305194805194</v>
      </c>
      <c r="EY6" s="11">
        <v>7018.273304403829</v>
      </c>
      <c r="EZ6" s="11">
        <v>3302.5029147309115</v>
      </c>
      <c r="FA6" s="11">
        <v>1981.3922621131876</v>
      </c>
      <c r="FB6" s="11">
        <v>997.4759810603455</v>
      </c>
      <c r="FC6" s="11">
        <v>722.7682179279554</v>
      </c>
      <c r="FD6" s="11">
        <v>14.133928571428571</v>
      </c>
      <c r="FE6" s="11">
        <v>903.0752840322893</v>
      </c>
      <c r="FF6" s="11">
        <v>1109.5218756448173</v>
      </c>
      <c r="FG6" s="11">
        <v>637.9339560054773</v>
      </c>
      <c r="FH6" s="11">
        <v>1085.9192334567215</v>
      </c>
      <c r="FI6" s="11">
        <v>1050.6950933695575</v>
      </c>
      <c r="FJ6" s="11">
        <v>479.53946555971714</v>
      </c>
      <c r="FK6" s="11">
        <v>339.2453906108335</v>
      </c>
      <c r="FL6" s="11">
        <v>304.35753271764344</v>
      </c>
      <c r="FM6" s="11">
        <v>52.28795793758481</v>
      </c>
      <c r="FN6" s="11">
        <v>422.8894160846375</v>
      </c>
      <c r="FO6" s="11">
        <v>262.9058121885337</v>
      </c>
      <c r="FP6" s="11">
        <v>117.42939015125464</v>
      </c>
      <c r="FQ6" s="11">
        <v>0</v>
      </c>
      <c r="FR6" s="11">
        <v>38.127272727272725</v>
      </c>
      <c r="FS6" s="11">
        <v>214.34562391748838</v>
      </c>
      <c r="FT6" s="11">
        <v>7018.273304403829</v>
      </c>
      <c r="FU6" s="11">
        <v>212.4909452006828</v>
      </c>
      <c r="FV6" s="11">
        <v>1895.3714323230934</v>
      </c>
      <c r="FW6" s="11">
        <v>686.2849457415479</v>
      </c>
      <c r="FX6" s="11">
        <v>391.8005783816568</v>
      </c>
      <c r="FY6" s="11">
        <v>422.8894160846375</v>
      </c>
      <c r="FZ6" s="11">
        <v>163.2530163385002</v>
      </c>
      <c r="GA6" s="11">
        <v>101.56957478005864</v>
      </c>
      <c r="GB6" s="11">
        <v>158.06682496607868</v>
      </c>
      <c r="GC6" s="11">
        <v>367.0167702543003</v>
      </c>
      <c r="GD6" s="11">
        <v>536.058513777989</v>
      </c>
      <c r="GE6" s="11">
        <v>765.4316932044844</v>
      </c>
      <c r="GF6" s="11">
        <v>2044.4759131395806</v>
      </c>
      <c r="GG6" s="11">
        <v>1569.4887627478442</v>
      </c>
      <c r="GH6" s="11">
        <v>3</v>
      </c>
      <c r="GI6" s="11">
        <v>277.7079545454545</v>
      </c>
      <c r="GJ6" s="11">
        <v>40</v>
      </c>
      <c r="GK6" s="11">
        <v>79.82228629579376</v>
      </c>
      <c r="GL6" s="11">
        <v>74.45690955048804</v>
      </c>
      <c r="GM6" s="11">
        <v>10797.136502760603</v>
      </c>
      <c r="GN6" s="11">
        <v>1391.8388305904496</v>
      </c>
      <c r="GO6" s="11">
        <v>2</v>
      </c>
      <c r="GP6" s="11">
        <v>276.3339908646962</v>
      </c>
      <c r="GQ6" s="11">
        <v>1001.5888756104271</v>
      </c>
      <c r="GR6" s="11">
        <v>39.586234516566726</v>
      </c>
      <c r="GS6" s="11">
        <v>5053.6036735051175</v>
      </c>
      <c r="GT6" s="11">
        <v>1045.7417715048553</v>
      </c>
      <c r="GU6" s="11">
        <v>11.330490405117272</v>
      </c>
      <c r="GV6" s="11">
        <v>149.78035135904057</v>
      </c>
      <c r="GW6" s="11">
        <v>1696.5099428496394</v>
      </c>
      <c r="GX6" s="11">
        <v>128.8223415546899</v>
      </c>
    </row>
    <row r="7" spans="1:206" ht="12.75">
      <c r="A7" s="5" t="s">
        <v>271</v>
      </c>
      <c r="B7" s="5">
        <v>259.309916</v>
      </c>
      <c r="C7" s="5">
        <v>3249.87012987013</v>
      </c>
      <c r="D7" s="5">
        <v>130.8961038961039</v>
      </c>
      <c r="E7" s="5">
        <v>386.5844155844156</v>
      </c>
      <c r="F7" s="5">
        <v>420.42857142857144</v>
      </c>
      <c r="G7" s="5">
        <v>491.2207792207792</v>
      </c>
      <c r="H7" s="5">
        <v>692.2337662337662</v>
      </c>
      <c r="I7" s="5">
        <v>708.974025974026</v>
      </c>
      <c r="J7" s="5">
        <v>419.53246753246754</v>
      </c>
      <c r="K7" s="5">
        <v>517.4805194805194</v>
      </c>
      <c r="L7" s="5">
        <v>1872.8961038961038</v>
      </c>
      <c r="M7" s="5">
        <v>859.4935064935065</v>
      </c>
      <c r="N7" s="5">
        <v>1567.7792207792209</v>
      </c>
      <c r="O7" s="5">
        <v>1682.090909090909</v>
      </c>
      <c r="P7" s="5">
        <v>3168.87012987013</v>
      </c>
      <c r="Q7" s="5">
        <v>81</v>
      </c>
      <c r="R7" s="5">
        <v>1484.8831168831168</v>
      </c>
      <c r="S7" s="5">
        <v>530.012987012987</v>
      </c>
      <c r="T7" s="5">
        <v>553.3896103896104</v>
      </c>
      <c r="U7" s="5">
        <v>175.84415584415584</v>
      </c>
      <c r="V7" s="5">
        <v>154.63636363636363</v>
      </c>
      <c r="W7" s="5">
        <v>55</v>
      </c>
      <c r="X7" s="5">
        <v>16</v>
      </c>
      <c r="Y7" s="5">
        <v>1020.7142857142858</v>
      </c>
      <c r="Z7" s="5">
        <v>193</v>
      </c>
      <c r="AA7" s="5">
        <v>59.94805194805195</v>
      </c>
      <c r="AB7" s="5">
        <v>142.53246753246754</v>
      </c>
      <c r="AC7" s="5">
        <v>38.74025974025974</v>
      </c>
      <c r="AD7" s="5">
        <v>1972.1688311688313</v>
      </c>
      <c r="AE7" s="5">
        <v>238.8961038961039</v>
      </c>
      <c r="AF7" s="5">
        <v>720.2857142857142</v>
      </c>
      <c r="AG7" s="5">
        <v>384.16883116883116</v>
      </c>
      <c r="AH7" s="5">
        <v>141.53246753246754</v>
      </c>
      <c r="AI7" s="5">
        <v>1688.6753246753246</v>
      </c>
      <c r="AJ7" s="5">
        <v>953.3376623376623</v>
      </c>
      <c r="AK7" s="5">
        <v>438.16883116883116</v>
      </c>
      <c r="AL7" s="5">
        <v>111.84415584415584</v>
      </c>
      <c r="AM7" s="5">
        <v>57.84415584415584</v>
      </c>
      <c r="AN7" s="5">
        <v>285.37662337662334</v>
      </c>
      <c r="AO7" s="5">
        <v>421.37662337662334</v>
      </c>
      <c r="AP7" s="5">
        <v>2543.1168831168834</v>
      </c>
      <c r="AQ7" s="5">
        <v>2915.6493506493507</v>
      </c>
      <c r="AR7" s="5">
        <v>204.63636363636363</v>
      </c>
      <c r="AS7" s="5">
        <v>33.79220779220779</v>
      </c>
      <c r="AT7" s="5">
        <v>17</v>
      </c>
      <c r="AU7" s="5">
        <v>78.79220779220779</v>
      </c>
      <c r="AV7" s="5">
        <v>3249.87012987013</v>
      </c>
      <c r="AW7" s="5">
        <v>2466.311688311688</v>
      </c>
      <c r="AX7" s="5">
        <v>643.8701298701299</v>
      </c>
      <c r="AY7" s="5">
        <v>13.948051948051948</v>
      </c>
      <c r="AZ7" s="5">
        <v>19.948051948051948</v>
      </c>
      <c r="BA7" s="5">
        <v>74.84415584415584</v>
      </c>
      <c r="BB7" s="5">
        <v>14</v>
      </c>
      <c r="BC7" s="5">
        <v>3249.87012987013</v>
      </c>
      <c r="BD7" s="5">
        <v>1893.0389610389611</v>
      </c>
      <c r="BE7" s="5">
        <v>347.75324675324674</v>
      </c>
      <c r="BF7" s="5">
        <v>477.27272727272725</v>
      </c>
      <c r="BG7" s="5">
        <v>99.8961038961039</v>
      </c>
      <c r="BH7" s="5">
        <v>218.32467532467533</v>
      </c>
      <c r="BI7" s="5">
        <v>123.68831168831169</v>
      </c>
      <c r="BJ7" s="5">
        <v>79.8961038961039</v>
      </c>
      <c r="BK7" s="5">
        <v>10</v>
      </c>
      <c r="BL7" s="5">
        <v>3249.87012987013</v>
      </c>
      <c r="BM7" s="5">
        <v>1419.077922077922</v>
      </c>
      <c r="BN7" s="5">
        <v>173.63636363636363</v>
      </c>
      <c r="BO7" s="5">
        <v>355.3896103896104</v>
      </c>
      <c r="BP7" s="5">
        <v>8</v>
      </c>
      <c r="BQ7" s="5">
        <v>1041.6493506493507</v>
      </c>
      <c r="BR7" s="5">
        <v>231.27272727272728</v>
      </c>
      <c r="BS7" s="5">
        <v>3249.87012987013</v>
      </c>
      <c r="BT7" s="5">
        <v>2364.6233766233763</v>
      </c>
      <c r="BU7" s="5">
        <v>687.5584415584416</v>
      </c>
      <c r="BV7" s="5">
        <v>21</v>
      </c>
      <c r="BW7" s="5">
        <v>12</v>
      </c>
      <c r="BX7" s="5">
        <v>5.948051948051948</v>
      </c>
      <c r="BY7" s="5">
        <v>80.8961038961039</v>
      </c>
      <c r="BZ7" s="5">
        <v>162.68831168831167</v>
      </c>
      <c r="CA7" s="5">
        <v>33.94805194805195</v>
      </c>
      <c r="CB7" s="5">
        <v>29</v>
      </c>
      <c r="CC7" s="5">
        <v>27</v>
      </c>
      <c r="CD7" s="5">
        <v>72.74025974025975</v>
      </c>
      <c r="CE7" s="5">
        <v>3168.9220779220777</v>
      </c>
      <c r="CF7" s="5">
        <v>3145.9220779220777</v>
      </c>
      <c r="CG7" s="5">
        <v>19</v>
      </c>
      <c r="CH7" s="5">
        <v>4</v>
      </c>
      <c r="CI7" s="5">
        <v>113.84415584415584</v>
      </c>
      <c r="CJ7" s="5">
        <v>2994.2337662337663</v>
      </c>
      <c r="CK7" s="5">
        <v>611.8051948051948</v>
      </c>
      <c r="CL7" s="5">
        <v>149.68831168831167</v>
      </c>
      <c r="CM7" s="5">
        <v>2312.857142857143</v>
      </c>
      <c r="CN7" s="5">
        <v>324.32467532467535</v>
      </c>
      <c r="CO7" s="5">
        <v>784.8051948051948</v>
      </c>
      <c r="CP7" s="5">
        <v>302.2207792207792</v>
      </c>
      <c r="CQ7" s="5">
        <v>92.84415584415584</v>
      </c>
      <c r="CR7" s="5">
        <v>29.79220779220779</v>
      </c>
      <c r="CS7" s="5">
        <v>12.948051948051948</v>
      </c>
      <c r="CT7" s="5">
        <v>2312.857142857143</v>
      </c>
      <c r="CU7" s="5">
        <v>765.922077922078</v>
      </c>
      <c r="CV7" s="5">
        <v>506.3896103896104</v>
      </c>
      <c r="CW7" s="5">
        <v>90.8961038961039</v>
      </c>
      <c r="CX7" s="5">
        <v>67.8961038961039</v>
      </c>
      <c r="CY7" s="5">
        <v>67.74025974025975</v>
      </c>
      <c r="CZ7" s="5">
        <v>33</v>
      </c>
      <c r="DA7" s="5">
        <v>92.84415584415584</v>
      </c>
      <c r="DB7" s="5">
        <v>21.896103896103895</v>
      </c>
      <c r="DC7" s="5">
        <v>24</v>
      </c>
      <c r="DD7" s="5">
        <v>6</v>
      </c>
      <c r="DE7" s="5">
        <v>1441.142857142857</v>
      </c>
      <c r="DF7" s="5">
        <v>100.68831168831169</v>
      </c>
      <c r="DG7" s="5">
        <v>313.32467532467535</v>
      </c>
      <c r="DH7" s="5">
        <v>236.68831168831167</v>
      </c>
      <c r="DI7" s="5">
        <v>562.3246753246754</v>
      </c>
      <c r="DJ7" s="5">
        <v>228.11688311688312</v>
      </c>
      <c r="DK7" s="5">
        <v>1441.142857142857</v>
      </c>
      <c r="DL7" s="5">
        <v>90.58441558441558</v>
      </c>
      <c r="DM7" s="5">
        <v>11.948051948051948</v>
      </c>
      <c r="DN7" s="5">
        <v>53.896103896103895</v>
      </c>
      <c r="DO7" s="5">
        <v>8</v>
      </c>
      <c r="DP7" s="5">
        <v>16</v>
      </c>
      <c r="DQ7" s="5">
        <v>183.84415584415584</v>
      </c>
      <c r="DR7" s="5">
        <v>156.68831168831167</v>
      </c>
      <c r="DS7" s="5">
        <v>49.94805194805195</v>
      </c>
      <c r="DT7" s="5">
        <v>182.84415584415584</v>
      </c>
      <c r="DU7" s="5">
        <v>18.896103896103895</v>
      </c>
      <c r="DV7" s="5">
        <v>21.948051948051948</v>
      </c>
      <c r="DW7" s="5">
        <v>32.79220779220779</v>
      </c>
      <c r="DX7" s="5">
        <v>69.68831168831169</v>
      </c>
      <c r="DY7" s="5">
        <v>51.896103896103895</v>
      </c>
      <c r="DZ7" s="5">
        <v>70.74025974025975</v>
      </c>
      <c r="EA7" s="5">
        <v>122.74025974025975</v>
      </c>
      <c r="EB7" s="5">
        <v>200.74025974025975</v>
      </c>
      <c r="EC7" s="5">
        <v>97.94805194805195</v>
      </c>
      <c r="ED7" s="5">
        <v>1441.142857142857</v>
      </c>
      <c r="EE7" s="5">
        <v>159.94805194805195</v>
      </c>
      <c r="EF7" s="5">
        <v>225.27272727272728</v>
      </c>
      <c r="EG7" s="5">
        <v>122.74025974025975</v>
      </c>
      <c r="EH7" s="5">
        <v>121.68831168831169</v>
      </c>
      <c r="EI7" s="5">
        <v>326.32467532467535</v>
      </c>
      <c r="EJ7" s="5">
        <v>167.74025974025975</v>
      </c>
      <c r="EK7" s="5">
        <v>55.79220779220779</v>
      </c>
      <c r="EL7" s="5">
        <v>95.84415584415584</v>
      </c>
      <c r="EM7" s="5">
        <v>165.7922077922078</v>
      </c>
      <c r="EN7" s="5">
        <v>2732.3896103896104</v>
      </c>
      <c r="EO7" s="5">
        <v>738.012987012987</v>
      </c>
      <c r="EP7" s="5">
        <v>605.6493506493507</v>
      </c>
      <c r="EQ7" s="5">
        <v>421.16883116883116</v>
      </c>
      <c r="ER7" s="5">
        <v>218.63636363636363</v>
      </c>
      <c r="ES7" s="5">
        <v>748.922077922078</v>
      </c>
      <c r="ET7" s="11">
        <v>1715.155844155844</v>
      </c>
      <c r="EU7" s="11">
        <v>1484.8831168831168</v>
      </c>
      <c r="EV7" s="11">
        <v>230.27272727272728</v>
      </c>
      <c r="EW7" s="11">
        <v>124.42857142857143</v>
      </c>
      <c r="EX7" s="11">
        <v>105.84415584415584</v>
      </c>
      <c r="EY7" s="11">
        <v>1481.8831168831168</v>
      </c>
      <c r="EZ7" s="11">
        <v>747.1428571428571</v>
      </c>
      <c r="FA7" s="11">
        <v>527.7402597402597</v>
      </c>
      <c r="FB7" s="11">
        <v>125</v>
      </c>
      <c r="FC7" s="11">
        <v>77</v>
      </c>
      <c r="FD7" s="11">
        <v>5</v>
      </c>
      <c r="FE7" s="11">
        <v>298.42857142857144</v>
      </c>
      <c r="FF7" s="11">
        <v>231.58441558441558</v>
      </c>
      <c r="FG7" s="11">
        <v>167.74025974025975</v>
      </c>
      <c r="FH7" s="11">
        <v>228.85714285714286</v>
      </c>
      <c r="FI7" s="11">
        <v>174.68831168831167</v>
      </c>
      <c r="FJ7" s="11">
        <v>78.8961038961039</v>
      </c>
      <c r="FK7" s="11">
        <v>58</v>
      </c>
      <c r="FL7" s="11">
        <v>54.94805194805195</v>
      </c>
      <c r="FM7" s="11">
        <v>5</v>
      </c>
      <c r="FN7" s="11">
        <v>69</v>
      </c>
      <c r="FO7" s="11">
        <v>51.94805194805195</v>
      </c>
      <c r="FP7" s="11">
        <v>17</v>
      </c>
      <c r="FQ7" s="11">
        <v>5.948051948051948</v>
      </c>
      <c r="FR7" s="11">
        <v>7.948051948051948</v>
      </c>
      <c r="FS7" s="11">
        <v>34.896103896103895</v>
      </c>
      <c r="FT7" s="11">
        <v>1484.8831168831168</v>
      </c>
      <c r="FU7" s="11">
        <v>33</v>
      </c>
      <c r="FV7" s="11">
        <v>315.6363636363636</v>
      </c>
      <c r="FW7" s="11">
        <v>105.8961038961039</v>
      </c>
      <c r="FX7" s="11">
        <v>72.8961038961039</v>
      </c>
      <c r="FY7" s="11">
        <v>69</v>
      </c>
      <c r="FZ7" s="11">
        <v>29</v>
      </c>
      <c r="GA7" s="11">
        <v>18</v>
      </c>
      <c r="GB7" s="11">
        <v>22</v>
      </c>
      <c r="GC7" s="11">
        <v>136.68831168831167</v>
      </c>
      <c r="GD7" s="11">
        <v>161.74025974025975</v>
      </c>
      <c r="GE7" s="11">
        <v>193.7922077922078</v>
      </c>
      <c r="GF7" s="11">
        <v>571.8571428571429</v>
      </c>
      <c r="GG7" s="11">
        <v>427.16883116883116</v>
      </c>
      <c r="GH7" s="11">
        <v>3.948051948051948</v>
      </c>
      <c r="GI7" s="11">
        <v>75</v>
      </c>
      <c r="GJ7" s="11">
        <v>20</v>
      </c>
      <c r="GK7" s="11">
        <v>26.896103896103895</v>
      </c>
      <c r="GL7" s="11">
        <v>18.844155844155843</v>
      </c>
      <c r="GM7" s="11">
        <v>1939.5714285714284</v>
      </c>
      <c r="GN7" s="11">
        <v>315.06493506493507</v>
      </c>
      <c r="GO7" s="11">
        <v>0</v>
      </c>
      <c r="GP7" s="11">
        <v>19.948051948051948</v>
      </c>
      <c r="GQ7" s="11">
        <v>199.63636363636363</v>
      </c>
      <c r="GR7" s="11">
        <v>5</v>
      </c>
      <c r="GS7" s="11">
        <v>881.3896103896104</v>
      </c>
      <c r="GT7" s="11">
        <v>172.8961038961039</v>
      </c>
      <c r="GU7" s="11">
        <v>1.948051948051948</v>
      </c>
      <c r="GV7" s="11">
        <v>18.948051948051948</v>
      </c>
      <c r="GW7" s="11">
        <v>300.8441558441558</v>
      </c>
      <c r="GX7" s="11">
        <v>23.896103896103895</v>
      </c>
    </row>
    <row r="8" spans="1:206" ht="12.75">
      <c r="A8" s="5" t="s">
        <v>272</v>
      </c>
      <c r="B8" s="5">
        <v>1560.943686</v>
      </c>
      <c r="C8" s="5">
        <v>1516.928484848485</v>
      </c>
      <c r="D8" s="5">
        <v>49.60083916083916</v>
      </c>
      <c r="E8" s="5">
        <v>145.75382284382283</v>
      </c>
      <c r="F8" s="5">
        <v>187.1374358974359</v>
      </c>
      <c r="G8" s="5">
        <v>225.99333333333334</v>
      </c>
      <c r="H8" s="5">
        <v>395.06687645687646</v>
      </c>
      <c r="I8" s="5">
        <v>336.99128205128204</v>
      </c>
      <c r="J8" s="5">
        <v>176.38489510489512</v>
      </c>
      <c r="K8" s="5">
        <v>195.354662004662</v>
      </c>
      <c r="L8" s="5">
        <v>936.5441258741259</v>
      </c>
      <c r="M8" s="5">
        <v>385.02969696969694</v>
      </c>
      <c r="N8" s="5">
        <v>765.893986013986</v>
      </c>
      <c r="O8" s="5">
        <v>751.0344988344989</v>
      </c>
      <c r="P8" s="5">
        <v>1494.688484848485</v>
      </c>
      <c r="Q8" s="5">
        <v>22.240000000000002</v>
      </c>
      <c r="R8" s="5">
        <v>742.715034965035</v>
      </c>
      <c r="S8" s="5">
        <v>298.7385780885781</v>
      </c>
      <c r="T8" s="5">
        <v>268.6697435897436</v>
      </c>
      <c r="U8" s="5">
        <v>83.03797202797202</v>
      </c>
      <c r="V8" s="5">
        <v>59.9672027972028</v>
      </c>
      <c r="W8" s="5">
        <v>26.181538461538462</v>
      </c>
      <c r="X8" s="5">
        <v>6.12</v>
      </c>
      <c r="Y8" s="5">
        <v>509.6188578088578</v>
      </c>
      <c r="Z8" s="5">
        <v>93.74083916083916</v>
      </c>
      <c r="AA8" s="5">
        <v>18.12</v>
      </c>
      <c r="AB8" s="5">
        <v>55.92636363636363</v>
      </c>
      <c r="AC8" s="5">
        <v>44.511538461538464</v>
      </c>
      <c r="AD8" s="5">
        <v>980.1393006993007</v>
      </c>
      <c r="AE8" s="5">
        <v>119.14251748251748</v>
      </c>
      <c r="AF8" s="5">
        <v>346.99897435897435</v>
      </c>
      <c r="AG8" s="5">
        <v>212.98948717948718</v>
      </c>
      <c r="AH8" s="5">
        <v>63.58405594405595</v>
      </c>
      <c r="AI8" s="5">
        <v>750.5824941724942</v>
      </c>
      <c r="AJ8" s="5">
        <v>460.9588811188811</v>
      </c>
      <c r="AK8" s="5">
        <v>229.78755244755246</v>
      </c>
      <c r="AL8" s="5">
        <v>63.46622377622377</v>
      </c>
      <c r="AM8" s="5">
        <v>12.133333333333333</v>
      </c>
      <c r="AN8" s="5">
        <v>151.05995337995336</v>
      </c>
      <c r="AO8" s="5">
        <v>220.14454545454544</v>
      </c>
      <c r="AP8" s="5">
        <v>1145.723986013986</v>
      </c>
      <c r="AQ8" s="5">
        <v>1358.225571095571</v>
      </c>
      <c r="AR8" s="5">
        <v>101.17412587412588</v>
      </c>
      <c r="AS8" s="5">
        <v>10.033333333333333</v>
      </c>
      <c r="AT8" s="5">
        <v>2.513333333333333</v>
      </c>
      <c r="AU8" s="5">
        <v>44.982121212121214</v>
      </c>
      <c r="AV8" s="5">
        <v>1516.928484848485</v>
      </c>
      <c r="AW8" s="5">
        <v>1121.959090909091</v>
      </c>
      <c r="AX8" s="5">
        <v>359.7545221445221</v>
      </c>
      <c r="AY8" s="5">
        <v>3.8987179487179486</v>
      </c>
      <c r="AZ8" s="5">
        <v>1</v>
      </c>
      <c r="BA8" s="5">
        <v>23.196153846153848</v>
      </c>
      <c r="BB8" s="5">
        <v>1.12</v>
      </c>
      <c r="BC8" s="5">
        <v>1516.928484848485</v>
      </c>
      <c r="BD8" s="5">
        <v>867.9256643356644</v>
      </c>
      <c r="BE8" s="5">
        <v>211.55456876456878</v>
      </c>
      <c r="BF8" s="5">
        <v>183.01550116550118</v>
      </c>
      <c r="BG8" s="5">
        <v>45.373333333333335</v>
      </c>
      <c r="BH8" s="5">
        <v>106.22785547785548</v>
      </c>
      <c r="BI8" s="5">
        <v>73.73668997668997</v>
      </c>
      <c r="BJ8" s="5">
        <v>27.941538461538464</v>
      </c>
      <c r="BK8" s="5">
        <v>1.1533333333333333</v>
      </c>
      <c r="BL8" s="5">
        <v>1516.928484848485</v>
      </c>
      <c r="BM8" s="5">
        <v>696.9400466200466</v>
      </c>
      <c r="BN8" s="5">
        <v>59.223659673659675</v>
      </c>
      <c r="BO8" s="5">
        <v>140.15988344988347</v>
      </c>
      <c r="BP8" s="5">
        <v>0</v>
      </c>
      <c r="BQ8" s="5">
        <v>497.0046853146853</v>
      </c>
      <c r="BR8" s="5">
        <v>115.94051282051282</v>
      </c>
      <c r="BS8" s="5">
        <v>1516.928484848485</v>
      </c>
      <c r="BT8" s="5">
        <v>1060.1513752913752</v>
      </c>
      <c r="BU8" s="5">
        <v>394.11447552447555</v>
      </c>
      <c r="BV8" s="5">
        <v>3.1533333333333333</v>
      </c>
      <c r="BW8" s="5">
        <v>4.898717948717948</v>
      </c>
      <c r="BX8" s="5">
        <v>3</v>
      </c>
      <c r="BY8" s="5">
        <v>26.69102564102564</v>
      </c>
      <c r="BZ8" s="5">
        <v>54.61058275058275</v>
      </c>
      <c r="CA8" s="5">
        <v>5.12</v>
      </c>
      <c r="CB8" s="5">
        <v>8.985384615384616</v>
      </c>
      <c r="CC8" s="5">
        <v>8.566923076923077</v>
      </c>
      <c r="CD8" s="5">
        <v>31.93827505827506</v>
      </c>
      <c r="CE8" s="5">
        <v>1492.739696969697</v>
      </c>
      <c r="CF8" s="5">
        <v>1485.619696969697</v>
      </c>
      <c r="CG8" s="5">
        <v>7.12</v>
      </c>
      <c r="CH8" s="5">
        <v>0</v>
      </c>
      <c r="CI8" s="5">
        <v>123.83386946386946</v>
      </c>
      <c r="CJ8" s="5">
        <v>1305.883006993007</v>
      </c>
      <c r="CK8" s="5">
        <v>316.536013986014</v>
      </c>
      <c r="CL8" s="5">
        <v>92.15230769230769</v>
      </c>
      <c r="CM8" s="5">
        <v>1145.1889277389278</v>
      </c>
      <c r="CN8" s="5">
        <v>138.75594405594404</v>
      </c>
      <c r="CO8" s="5">
        <v>377.05636363636364</v>
      </c>
      <c r="CP8" s="5">
        <v>175.51165501165502</v>
      </c>
      <c r="CQ8" s="5">
        <v>51.74167832167832</v>
      </c>
      <c r="CR8" s="5">
        <v>7.828787878787879</v>
      </c>
      <c r="CS8" s="5">
        <v>3.24</v>
      </c>
      <c r="CT8" s="5">
        <v>1145.1889277389278</v>
      </c>
      <c r="CU8" s="5">
        <v>391.0544988344989</v>
      </c>
      <c r="CV8" s="5">
        <v>255.9151282051282</v>
      </c>
      <c r="CW8" s="5">
        <v>42.70564102564103</v>
      </c>
      <c r="CX8" s="5">
        <v>39.12296037296037</v>
      </c>
      <c r="CY8" s="5">
        <v>35.950769230769225</v>
      </c>
      <c r="CZ8" s="5">
        <v>17.36</v>
      </c>
      <c r="DA8" s="5">
        <v>51.74167832167832</v>
      </c>
      <c r="DB8" s="5">
        <v>8.273333333333333</v>
      </c>
      <c r="DC8" s="5">
        <v>13.308787878787879</v>
      </c>
      <c r="DD8" s="5">
        <v>1.2733333333333334</v>
      </c>
      <c r="DE8" s="5">
        <v>699.1527505827505</v>
      </c>
      <c r="DF8" s="5">
        <v>62.82009324009324</v>
      </c>
      <c r="DG8" s="5">
        <v>133.75496503496504</v>
      </c>
      <c r="DH8" s="5">
        <v>129.83783216783218</v>
      </c>
      <c r="DI8" s="5">
        <v>229.79177156177155</v>
      </c>
      <c r="DJ8" s="5">
        <v>142.94808857808857</v>
      </c>
      <c r="DK8" s="5">
        <v>699.1527505827505</v>
      </c>
      <c r="DL8" s="5">
        <v>57.82009324009324</v>
      </c>
      <c r="DM8" s="5">
        <v>12.25871794871795</v>
      </c>
      <c r="DN8" s="5">
        <v>21.847505827505827</v>
      </c>
      <c r="DO8" s="5">
        <v>9.865384615384615</v>
      </c>
      <c r="DP8" s="5">
        <v>22.865384615384613</v>
      </c>
      <c r="DQ8" s="5">
        <v>96.545337995338</v>
      </c>
      <c r="DR8" s="5">
        <v>41.000396270396266</v>
      </c>
      <c r="DS8" s="5">
        <v>34.25545454545455</v>
      </c>
      <c r="DT8" s="5">
        <v>73.9027738927739</v>
      </c>
      <c r="DU8" s="5">
        <v>16.1</v>
      </c>
      <c r="DV8" s="5">
        <v>7.066666666666666</v>
      </c>
      <c r="DW8" s="5">
        <v>14.355990675990675</v>
      </c>
      <c r="DX8" s="5">
        <v>32.60962703962704</v>
      </c>
      <c r="DY8" s="5">
        <v>21.138717948717947</v>
      </c>
      <c r="DZ8" s="5">
        <v>45.66578088578088</v>
      </c>
      <c r="EA8" s="5">
        <v>65.01289044289044</v>
      </c>
      <c r="EB8" s="5">
        <v>93.70321678321679</v>
      </c>
      <c r="EC8" s="5">
        <v>33.13881118881119</v>
      </c>
      <c r="ED8" s="5">
        <v>699.1527505827505</v>
      </c>
      <c r="EE8" s="5">
        <v>84.61041958041957</v>
      </c>
      <c r="EF8" s="5">
        <v>104.96237762237763</v>
      </c>
      <c r="EG8" s="5">
        <v>67.32834498834498</v>
      </c>
      <c r="EH8" s="5">
        <v>48.45501165501165</v>
      </c>
      <c r="EI8" s="5">
        <v>161.5784615384615</v>
      </c>
      <c r="EJ8" s="5">
        <v>89.51694638694639</v>
      </c>
      <c r="EK8" s="5">
        <v>16.292051282051283</v>
      </c>
      <c r="EL8" s="5">
        <v>62.349184149184154</v>
      </c>
      <c r="EM8" s="5">
        <v>64.05995337995338</v>
      </c>
      <c r="EN8" s="5">
        <v>1321.5738228438229</v>
      </c>
      <c r="EO8" s="5">
        <v>347.05531468531467</v>
      </c>
      <c r="EP8" s="5">
        <v>339.7948717948718</v>
      </c>
      <c r="EQ8" s="5">
        <v>199.7128438228438</v>
      </c>
      <c r="ER8" s="5">
        <v>111.29694638694639</v>
      </c>
      <c r="ES8" s="5">
        <v>323.71384615384613</v>
      </c>
      <c r="ET8" s="11">
        <v>953.7333333333333</v>
      </c>
      <c r="EU8" s="11">
        <v>742.715034965035</v>
      </c>
      <c r="EV8" s="11">
        <v>211.01829836829836</v>
      </c>
      <c r="EW8" s="11">
        <v>152.60261072261073</v>
      </c>
      <c r="EX8" s="11">
        <v>58.41568764568765</v>
      </c>
      <c r="EY8" s="11">
        <v>742.715034965035</v>
      </c>
      <c r="EZ8" s="11">
        <v>534.5308391608392</v>
      </c>
      <c r="FA8" s="11">
        <v>144.39713286713288</v>
      </c>
      <c r="FB8" s="11">
        <v>52.26083916083916</v>
      </c>
      <c r="FC8" s="11">
        <v>6.660839160839161</v>
      </c>
      <c r="FD8" s="11">
        <v>4.865384615384615</v>
      </c>
      <c r="FE8" s="11">
        <v>142.04475524475524</v>
      </c>
      <c r="FF8" s="11">
        <v>156.69382284382286</v>
      </c>
      <c r="FG8" s="11">
        <v>73.63412587412587</v>
      </c>
      <c r="FH8" s="11">
        <v>118.2990675990676</v>
      </c>
      <c r="FI8" s="11">
        <v>79.33668997668997</v>
      </c>
      <c r="FJ8" s="11">
        <v>31.392890442890444</v>
      </c>
      <c r="FK8" s="11">
        <v>38.23911421911422</v>
      </c>
      <c r="FL8" s="11">
        <v>25.05205128205128</v>
      </c>
      <c r="FM8" s="11">
        <v>2.7954545454545454</v>
      </c>
      <c r="FN8" s="11">
        <v>19.94878787878788</v>
      </c>
      <c r="FO8" s="11">
        <v>27.22</v>
      </c>
      <c r="FP8" s="11">
        <v>11.105384615384615</v>
      </c>
      <c r="FQ8" s="11">
        <v>0</v>
      </c>
      <c r="FR8" s="11">
        <v>1.694172494172494</v>
      </c>
      <c r="FS8" s="11">
        <v>15.25871794871795</v>
      </c>
      <c r="FT8" s="11">
        <v>742.715034965035</v>
      </c>
      <c r="FU8" s="11">
        <v>11.828787878787878</v>
      </c>
      <c r="FV8" s="11">
        <v>135.44291375291374</v>
      </c>
      <c r="FW8" s="11">
        <v>38.48083916083916</v>
      </c>
      <c r="FX8" s="11">
        <v>27.07090909090909</v>
      </c>
      <c r="FY8" s="11">
        <v>19.94878787878788</v>
      </c>
      <c r="FZ8" s="11">
        <v>7.12</v>
      </c>
      <c r="GA8" s="11">
        <v>4</v>
      </c>
      <c r="GB8" s="11">
        <v>8.828787878787878</v>
      </c>
      <c r="GC8" s="11">
        <v>60.03981351981352</v>
      </c>
      <c r="GD8" s="11">
        <v>82.00494172494173</v>
      </c>
      <c r="GE8" s="11">
        <v>85.37995337995338</v>
      </c>
      <c r="GF8" s="11">
        <v>266.5126107226107</v>
      </c>
      <c r="GG8" s="11">
        <v>204.66638694638695</v>
      </c>
      <c r="GH8" s="11">
        <v>0</v>
      </c>
      <c r="GI8" s="11">
        <v>28.12</v>
      </c>
      <c r="GJ8" s="11">
        <v>5</v>
      </c>
      <c r="GK8" s="11">
        <v>18.995454545454546</v>
      </c>
      <c r="GL8" s="11">
        <v>9.73076923076923</v>
      </c>
      <c r="GM8" s="11">
        <v>888.8855477855477</v>
      </c>
      <c r="GN8" s="11">
        <v>206.2095804195804</v>
      </c>
      <c r="GO8" s="11">
        <v>0</v>
      </c>
      <c r="GP8" s="11">
        <v>11.1</v>
      </c>
      <c r="GQ8" s="11">
        <v>112.27694638694638</v>
      </c>
      <c r="GR8" s="11">
        <v>3</v>
      </c>
      <c r="GS8" s="11">
        <v>372.83314685314684</v>
      </c>
      <c r="GT8" s="11">
        <v>60.600093240093244</v>
      </c>
      <c r="GU8" s="11">
        <v>3</v>
      </c>
      <c r="GV8" s="11">
        <v>1.12</v>
      </c>
      <c r="GW8" s="11">
        <v>101.81160839160839</v>
      </c>
      <c r="GX8" s="11">
        <v>16.934172494172493</v>
      </c>
    </row>
    <row r="9" spans="1:206" ht="12.75">
      <c r="A9" s="5" t="s">
        <v>273</v>
      </c>
      <c r="B9" s="5">
        <v>230.355038</v>
      </c>
      <c r="C9" s="5">
        <v>9421.130938416423</v>
      </c>
      <c r="D9" s="5">
        <v>395.2526392961877</v>
      </c>
      <c r="E9" s="5">
        <v>1240.5203812316715</v>
      </c>
      <c r="F9" s="5">
        <v>1115.331964809384</v>
      </c>
      <c r="G9" s="5">
        <v>1537.6956011730206</v>
      </c>
      <c r="H9" s="5">
        <v>2385.2882697947216</v>
      </c>
      <c r="I9" s="5">
        <v>1912.1850439882699</v>
      </c>
      <c r="J9" s="5">
        <v>834.8570381231672</v>
      </c>
      <c r="K9" s="5">
        <v>1635.773020527859</v>
      </c>
      <c r="L9" s="5">
        <v>5838.408064516128</v>
      </c>
      <c r="M9" s="5">
        <v>1946.949853372434</v>
      </c>
      <c r="N9" s="5">
        <v>4505.006744868035</v>
      </c>
      <c r="O9" s="5">
        <v>4916.124193548387</v>
      </c>
      <c r="P9" s="5">
        <v>9354.130938416423</v>
      </c>
      <c r="Q9" s="5">
        <v>67</v>
      </c>
      <c r="R9" s="5">
        <v>3938.3982404692083</v>
      </c>
      <c r="S9" s="5">
        <v>1034.5205278592375</v>
      </c>
      <c r="T9" s="5">
        <v>1517.4656891495601</v>
      </c>
      <c r="U9" s="5">
        <v>599.1869501466276</v>
      </c>
      <c r="V9" s="5">
        <v>527.0598240469208</v>
      </c>
      <c r="W9" s="5">
        <v>192.6316715542522</v>
      </c>
      <c r="X9" s="5">
        <v>67.53357771260997</v>
      </c>
      <c r="Y9" s="5">
        <v>3071.5175953079183</v>
      </c>
      <c r="Z9" s="5">
        <v>324.96906158357774</v>
      </c>
      <c r="AA9" s="5">
        <v>60</v>
      </c>
      <c r="AB9" s="5">
        <v>356.5535190615836</v>
      </c>
      <c r="AC9" s="5">
        <v>87.35806451612903</v>
      </c>
      <c r="AD9" s="5">
        <v>5967.0722873900295</v>
      </c>
      <c r="AE9" s="5">
        <v>449.241642228739</v>
      </c>
      <c r="AF9" s="5">
        <v>1642.4621700879766</v>
      </c>
      <c r="AG9" s="5">
        <v>1380.5384164222874</v>
      </c>
      <c r="AH9" s="5">
        <v>466.15601173020525</v>
      </c>
      <c r="AI9" s="5">
        <v>5274.689149560118</v>
      </c>
      <c r="AJ9" s="5">
        <v>2851.8953079178887</v>
      </c>
      <c r="AK9" s="5">
        <v>988.0602639296188</v>
      </c>
      <c r="AL9" s="5">
        <v>260.06715542521994</v>
      </c>
      <c r="AM9" s="5">
        <v>46.419061583577715</v>
      </c>
      <c r="AN9" s="5">
        <v>599.9859237536657</v>
      </c>
      <c r="AO9" s="5">
        <v>982.1184750733138</v>
      </c>
      <c r="AP9" s="5">
        <v>7839.026539589443</v>
      </c>
      <c r="AQ9" s="5">
        <v>8502.410850439883</v>
      </c>
      <c r="AR9" s="5">
        <v>610.2494134897361</v>
      </c>
      <c r="AS9" s="5">
        <v>85.24354838709677</v>
      </c>
      <c r="AT9" s="5">
        <v>54</v>
      </c>
      <c r="AU9" s="5">
        <v>169.22712609970674</v>
      </c>
      <c r="AV9" s="5">
        <v>9421.130938416423</v>
      </c>
      <c r="AW9" s="5">
        <v>7345.164516129032</v>
      </c>
      <c r="AX9" s="5">
        <v>1728.608357771261</v>
      </c>
      <c r="AY9" s="5">
        <v>56.564516129032256</v>
      </c>
      <c r="AZ9" s="5">
        <v>24</v>
      </c>
      <c r="BA9" s="5">
        <v>170.67903225806452</v>
      </c>
      <c r="BB9" s="5">
        <v>43</v>
      </c>
      <c r="BC9" s="5">
        <v>9421.130938416423</v>
      </c>
      <c r="BD9" s="5">
        <v>5246.1</v>
      </c>
      <c r="BE9" s="5">
        <v>1154.1252199413489</v>
      </c>
      <c r="BF9" s="5">
        <v>1742.96642228739</v>
      </c>
      <c r="BG9" s="5">
        <v>244.67815249266863</v>
      </c>
      <c r="BH9" s="5">
        <v>479.8406158357771</v>
      </c>
      <c r="BI9" s="5">
        <v>340.191495601173</v>
      </c>
      <c r="BJ9" s="5">
        <v>186.67903225806452</v>
      </c>
      <c r="BK9" s="5">
        <v>26.55</v>
      </c>
      <c r="BL9" s="5">
        <v>9421.130938416423</v>
      </c>
      <c r="BM9" s="5">
        <v>3589.273460410557</v>
      </c>
      <c r="BN9" s="5">
        <v>430.47272727272724</v>
      </c>
      <c r="BO9" s="5">
        <v>1191.3426686217008</v>
      </c>
      <c r="BP9" s="5">
        <v>14</v>
      </c>
      <c r="BQ9" s="5">
        <v>3328.9505865102637</v>
      </c>
      <c r="BR9" s="5">
        <v>789.5434017595308</v>
      </c>
      <c r="BS9" s="5">
        <v>9421.130938416423</v>
      </c>
      <c r="BT9" s="5">
        <v>7032.276686217009</v>
      </c>
      <c r="BU9" s="5">
        <v>1825.9799120234607</v>
      </c>
      <c r="BV9" s="5">
        <v>73.85454545454544</v>
      </c>
      <c r="BW9" s="5">
        <v>59.67903225806452</v>
      </c>
      <c r="BX9" s="5">
        <v>27.56451612903226</v>
      </c>
      <c r="BY9" s="5">
        <v>172.67624633431083</v>
      </c>
      <c r="BZ9" s="5">
        <v>428.34076246334314</v>
      </c>
      <c r="CA9" s="5">
        <v>26.129032258064516</v>
      </c>
      <c r="CB9" s="5">
        <v>45.41818181818182</v>
      </c>
      <c r="CC9" s="5">
        <v>72.55</v>
      </c>
      <c r="CD9" s="5">
        <v>284.2435483870968</v>
      </c>
      <c r="CE9" s="5">
        <v>9191.81642228739</v>
      </c>
      <c r="CF9" s="5">
        <v>9140.687390029325</v>
      </c>
      <c r="CG9" s="5">
        <v>44.12903225806451</v>
      </c>
      <c r="CH9" s="5">
        <v>7</v>
      </c>
      <c r="CI9" s="5">
        <v>264.82976539589447</v>
      </c>
      <c r="CJ9" s="5">
        <v>8785.584017595307</v>
      </c>
      <c r="CK9" s="5">
        <v>1774.890322580645</v>
      </c>
      <c r="CL9" s="5">
        <v>398.0343108504399</v>
      </c>
      <c r="CM9" s="5">
        <v>6950.500879765395</v>
      </c>
      <c r="CN9" s="5">
        <v>1027.840322580645</v>
      </c>
      <c r="CO9" s="5">
        <v>2560.6181818181817</v>
      </c>
      <c r="CP9" s="5">
        <v>983.4457478005866</v>
      </c>
      <c r="CQ9" s="5">
        <v>207.6316715542522</v>
      </c>
      <c r="CR9" s="5">
        <v>134.5181818181818</v>
      </c>
      <c r="CS9" s="5">
        <v>15.693548387096774</v>
      </c>
      <c r="CT9" s="5">
        <v>6950.500879765395</v>
      </c>
      <c r="CU9" s="5">
        <v>2020.7532258064518</v>
      </c>
      <c r="CV9" s="5">
        <v>1288.731964809384</v>
      </c>
      <c r="CW9" s="5">
        <v>280.3407624633431</v>
      </c>
      <c r="CX9" s="5">
        <v>219.6007331378299</v>
      </c>
      <c r="CY9" s="5">
        <v>154.5316715542522</v>
      </c>
      <c r="CZ9" s="5">
        <v>77.54809384164223</v>
      </c>
      <c r="DA9" s="5">
        <v>207.6316715542522</v>
      </c>
      <c r="DB9" s="5">
        <v>54.98357771260997</v>
      </c>
      <c r="DC9" s="5">
        <v>59.1</v>
      </c>
      <c r="DD9" s="5">
        <v>12.419061583577713</v>
      </c>
      <c r="DE9" s="5">
        <v>4706.422434017595</v>
      </c>
      <c r="DF9" s="5">
        <v>401.9587976539589</v>
      </c>
      <c r="DG9" s="5">
        <v>1033.2313782991203</v>
      </c>
      <c r="DH9" s="5">
        <v>788.5607038123168</v>
      </c>
      <c r="DI9" s="5">
        <v>1676.8282991202345</v>
      </c>
      <c r="DJ9" s="5">
        <v>805.8432551319648</v>
      </c>
      <c r="DK9" s="5">
        <v>4706.422434017595</v>
      </c>
      <c r="DL9" s="5">
        <v>288.0453079178885</v>
      </c>
      <c r="DM9" s="5">
        <v>48</v>
      </c>
      <c r="DN9" s="5">
        <v>277.60073313782993</v>
      </c>
      <c r="DO9" s="5">
        <v>38</v>
      </c>
      <c r="DP9" s="5">
        <v>35</v>
      </c>
      <c r="DQ9" s="5">
        <v>442.75058651026393</v>
      </c>
      <c r="DR9" s="5">
        <v>617.5070381231671</v>
      </c>
      <c r="DS9" s="5">
        <v>186.6480938416422</v>
      </c>
      <c r="DT9" s="5">
        <v>270.89266862170086</v>
      </c>
      <c r="DU9" s="5">
        <v>103.40454545454546</v>
      </c>
      <c r="DV9" s="5">
        <v>48.25909090909091</v>
      </c>
      <c r="DW9" s="5">
        <v>53.41906158357771</v>
      </c>
      <c r="DX9" s="5">
        <v>288.0370967741935</v>
      </c>
      <c r="DY9" s="5">
        <v>173.45615835777127</v>
      </c>
      <c r="DZ9" s="5">
        <v>348.3643695014663</v>
      </c>
      <c r="EA9" s="5">
        <v>450.32434017595307</v>
      </c>
      <c r="EB9" s="5">
        <v>822.7897360703813</v>
      </c>
      <c r="EC9" s="5">
        <v>213.92360703812318</v>
      </c>
      <c r="ED9" s="5">
        <v>4706.422434017595</v>
      </c>
      <c r="EE9" s="5">
        <v>530.057917888563</v>
      </c>
      <c r="EF9" s="5">
        <v>994.0768328445748</v>
      </c>
      <c r="EG9" s="5">
        <v>529.7533724340176</v>
      </c>
      <c r="EH9" s="5">
        <v>483.50615835777126</v>
      </c>
      <c r="EI9" s="5">
        <v>781.7677419354839</v>
      </c>
      <c r="EJ9" s="5">
        <v>379.42624633431086</v>
      </c>
      <c r="EK9" s="5">
        <v>306.4571847507331</v>
      </c>
      <c r="EL9" s="5">
        <v>307.4717008797654</v>
      </c>
      <c r="EM9" s="5">
        <v>393.9052785923754</v>
      </c>
      <c r="EN9" s="5">
        <v>7785.357917888564</v>
      </c>
      <c r="EO9" s="5">
        <v>1564.409237536657</v>
      </c>
      <c r="EP9" s="5">
        <v>1657.5982404692081</v>
      </c>
      <c r="EQ9" s="5">
        <v>1129.5285923753665</v>
      </c>
      <c r="ER9" s="5">
        <v>687.4769794721408</v>
      </c>
      <c r="ES9" s="5">
        <v>2746.3448680351908</v>
      </c>
      <c r="ET9" s="11">
        <v>4166.061876832845</v>
      </c>
      <c r="EU9" s="11">
        <v>3938.3982404692083</v>
      </c>
      <c r="EV9" s="11">
        <v>227.66363636363636</v>
      </c>
      <c r="EW9" s="11">
        <v>99.85454545454546</v>
      </c>
      <c r="EX9" s="11">
        <v>127.8090909090909</v>
      </c>
      <c r="EY9" s="11">
        <v>3938.3982404692083</v>
      </c>
      <c r="EZ9" s="11">
        <v>2439.7457478005863</v>
      </c>
      <c r="FA9" s="11">
        <v>896.0189149560117</v>
      </c>
      <c r="FB9" s="11">
        <v>447.0690615835777</v>
      </c>
      <c r="FC9" s="11">
        <v>139.56451612903226</v>
      </c>
      <c r="FD9" s="11">
        <v>16</v>
      </c>
      <c r="FE9" s="11">
        <v>553.4706744868035</v>
      </c>
      <c r="FF9" s="11">
        <v>481.04985337243403</v>
      </c>
      <c r="FG9" s="11">
        <v>418.29252199413486</v>
      </c>
      <c r="FH9" s="11">
        <v>736.1678885630499</v>
      </c>
      <c r="FI9" s="11">
        <v>686.9960410557185</v>
      </c>
      <c r="FJ9" s="11">
        <v>278.2797653958944</v>
      </c>
      <c r="FK9" s="11">
        <v>158.3126099706745</v>
      </c>
      <c r="FL9" s="11">
        <v>144.66451612903225</v>
      </c>
      <c r="FM9" s="11">
        <v>17</v>
      </c>
      <c r="FN9" s="11">
        <v>167.53357771260997</v>
      </c>
      <c r="FO9" s="11">
        <v>111.54721407624633</v>
      </c>
      <c r="FP9" s="11">
        <v>70.51906158357771</v>
      </c>
      <c r="FQ9" s="11">
        <v>0</v>
      </c>
      <c r="FR9" s="11">
        <v>15</v>
      </c>
      <c r="FS9" s="11">
        <v>99.56451612903226</v>
      </c>
      <c r="FT9" s="11">
        <v>3938.3982404692083</v>
      </c>
      <c r="FU9" s="11">
        <v>64.56451612903226</v>
      </c>
      <c r="FV9" s="11">
        <v>1069.7131964809384</v>
      </c>
      <c r="FW9" s="11">
        <v>310.58812316715546</v>
      </c>
      <c r="FX9" s="11">
        <v>212.7480938416422</v>
      </c>
      <c r="FY9" s="11">
        <v>167.53357771260997</v>
      </c>
      <c r="FZ9" s="11">
        <v>74.11451612903225</v>
      </c>
      <c r="GA9" s="11">
        <v>50.41906158357771</v>
      </c>
      <c r="GB9" s="11">
        <v>43</v>
      </c>
      <c r="GC9" s="11">
        <v>228.48709677419353</v>
      </c>
      <c r="GD9" s="11">
        <v>324.98357771261</v>
      </c>
      <c r="GE9" s="11">
        <v>455.87346041055713</v>
      </c>
      <c r="GF9" s="11">
        <v>1261.7511730205279</v>
      </c>
      <c r="GG9" s="11">
        <v>1026.7985337243401</v>
      </c>
      <c r="GH9" s="11">
        <v>7</v>
      </c>
      <c r="GI9" s="11">
        <v>122.85454545454546</v>
      </c>
      <c r="GJ9" s="11">
        <v>8</v>
      </c>
      <c r="GK9" s="11">
        <v>55.85454545454545</v>
      </c>
      <c r="GL9" s="11">
        <v>41.24354838709677</v>
      </c>
      <c r="GM9" s="11">
        <v>6249.687096774193</v>
      </c>
      <c r="GN9" s="11">
        <v>908.7576246334311</v>
      </c>
      <c r="GO9" s="11">
        <v>2</v>
      </c>
      <c r="GP9" s="11">
        <v>67.54809384164223</v>
      </c>
      <c r="GQ9" s="11">
        <v>917.1796187683285</v>
      </c>
      <c r="GR9" s="11">
        <v>23.54809384164223</v>
      </c>
      <c r="GS9" s="11">
        <v>3015.0579178885628</v>
      </c>
      <c r="GT9" s="11">
        <v>480.841495601173</v>
      </c>
      <c r="GU9" s="11">
        <v>13</v>
      </c>
      <c r="GV9" s="11">
        <v>96.1126099706745</v>
      </c>
      <c r="GW9" s="11">
        <v>636.5126099706745</v>
      </c>
      <c r="GX9" s="11">
        <v>89.12903225806451</v>
      </c>
    </row>
    <row r="10" spans="1:206" ht="12.75">
      <c r="A10" s="5" t="s">
        <v>274</v>
      </c>
      <c r="B10" s="5">
        <v>1204.130101</v>
      </c>
      <c r="C10" s="5">
        <v>2719.438136468983</v>
      </c>
      <c r="D10" s="5">
        <v>84.10819262038774</v>
      </c>
      <c r="E10" s="5">
        <v>287.18466120202135</v>
      </c>
      <c r="F10" s="5">
        <v>278.71713336878327</v>
      </c>
      <c r="G10" s="5">
        <v>380.75678348433013</v>
      </c>
      <c r="H10" s="5">
        <v>737.6399872246357</v>
      </c>
      <c r="I10" s="5">
        <v>653.7970111667386</v>
      </c>
      <c r="J10" s="5">
        <v>297.2343674020862</v>
      </c>
      <c r="K10" s="5">
        <v>371.2928538224091</v>
      </c>
      <c r="L10" s="5">
        <v>1659.9736623491287</v>
      </c>
      <c r="M10" s="5">
        <v>688.1716202974452</v>
      </c>
      <c r="N10" s="5">
        <v>1373.9995709216655</v>
      </c>
      <c r="O10" s="5">
        <v>1345.4385655473175</v>
      </c>
      <c r="P10" s="5">
        <v>2625.438136468983</v>
      </c>
      <c r="Q10" s="5">
        <v>94</v>
      </c>
      <c r="R10" s="5">
        <v>1243.7854317370818</v>
      </c>
      <c r="S10" s="5">
        <v>416.7461080287479</v>
      </c>
      <c r="T10" s="5">
        <v>497.69606772949675</v>
      </c>
      <c r="U10" s="5">
        <v>170.90258115867871</v>
      </c>
      <c r="V10" s="5">
        <v>105.86513328851922</v>
      </c>
      <c r="W10" s="5">
        <v>40.321632838706</v>
      </c>
      <c r="X10" s="5">
        <v>12.253908692933082</v>
      </c>
      <c r="Y10" s="5">
        <v>926.1762802955056</v>
      </c>
      <c r="Z10" s="5">
        <v>96.15134459036898</v>
      </c>
      <c r="AA10" s="5">
        <v>68.94966740576497</v>
      </c>
      <c r="AB10" s="5">
        <v>78.52881513512791</v>
      </c>
      <c r="AC10" s="5">
        <v>53.5902586175183</v>
      </c>
      <c r="AD10" s="5">
        <v>1690.0677214703037</v>
      </c>
      <c r="AE10" s="5">
        <v>159.89319628243587</v>
      </c>
      <c r="AF10" s="5">
        <v>619.1265951647588</v>
      </c>
      <c r="AG10" s="5">
        <v>360.6588874062332</v>
      </c>
      <c r="AH10" s="5">
        <v>104.1067528836539</v>
      </c>
      <c r="AI10" s="5">
        <v>1368.6271252420463</v>
      </c>
      <c r="AJ10" s="5">
        <v>825.6712370365168</v>
      </c>
      <c r="AK10" s="5">
        <v>364.687583817426</v>
      </c>
      <c r="AL10" s="5">
        <v>119.81326263406608</v>
      </c>
      <c r="AM10" s="5">
        <v>40.63892773892774</v>
      </c>
      <c r="AN10" s="5">
        <v>268.42831214696355</v>
      </c>
      <c r="AO10" s="5">
        <v>362.46825355419327</v>
      </c>
      <c r="AP10" s="5">
        <v>2088.5415707678258</v>
      </c>
      <c r="AQ10" s="5">
        <v>2388.1520208151487</v>
      </c>
      <c r="AR10" s="5">
        <v>200.19308558490766</v>
      </c>
      <c r="AS10" s="5">
        <v>17.607843137254903</v>
      </c>
      <c r="AT10" s="5">
        <v>29.536363636363635</v>
      </c>
      <c r="AU10" s="5">
        <v>83.94882329530823</v>
      </c>
      <c r="AV10" s="5">
        <v>2719.438136468983</v>
      </c>
      <c r="AW10" s="5">
        <v>1847.598577988248</v>
      </c>
      <c r="AX10" s="5">
        <v>757.4220956948361</v>
      </c>
      <c r="AY10" s="5">
        <v>12.459036898061289</v>
      </c>
      <c r="AZ10" s="5">
        <v>9</v>
      </c>
      <c r="BA10" s="5">
        <v>54.814219114219114</v>
      </c>
      <c r="BB10" s="5">
        <v>18</v>
      </c>
      <c r="BC10" s="5">
        <v>2719.438136468983</v>
      </c>
      <c r="BD10" s="5">
        <v>1382.1357014577961</v>
      </c>
      <c r="BE10" s="5">
        <v>471.0317524656119</v>
      </c>
      <c r="BF10" s="5">
        <v>366.12565172751687</v>
      </c>
      <c r="BG10" s="5">
        <v>96.25246895619924</v>
      </c>
      <c r="BH10" s="5">
        <v>213.35974288743301</v>
      </c>
      <c r="BI10" s="5">
        <v>115.51442813523158</v>
      </c>
      <c r="BJ10" s="5">
        <v>66.91582673663018</v>
      </c>
      <c r="BK10" s="5">
        <v>8.102564102564102</v>
      </c>
      <c r="BL10" s="5">
        <v>2719.438136468983</v>
      </c>
      <c r="BM10" s="5">
        <v>758.1989903449013</v>
      </c>
      <c r="BN10" s="5">
        <v>122.14559567644216</v>
      </c>
      <c r="BO10" s="5">
        <v>509.53299889971333</v>
      </c>
      <c r="BP10" s="5">
        <v>0</v>
      </c>
      <c r="BQ10" s="5">
        <v>987.4299762886562</v>
      </c>
      <c r="BR10" s="5">
        <v>314.9792306689007</v>
      </c>
      <c r="BS10" s="5">
        <v>2719.438136468983</v>
      </c>
      <c r="BT10" s="5">
        <v>1733.5290612782721</v>
      </c>
      <c r="BU10" s="5">
        <v>820.1465855999572</v>
      </c>
      <c r="BV10" s="5">
        <v>17.15855096601151</v>
      </c>
      <c r="BW10" s="5">
        <v>12.253908692933082</v>
      </c>
      <c r="BX10" s="5">
        <v>9.205128205128204</v>
      </c>
      <c r="BY10" s="5">
        <v>57.17529137529137</v>
      </c>
      <c r="BZ10" s="5">
        <v>136.35002993180896</v>
      </c>
      <c r="CA10" s="5">
        <v>18.102564102564102</v>
      </c>
      <c r="CB10" s="5">
        <v>14.102564102564102</v>
      </c>
      <c r="CC10" s="5">
        <v>22.25390869293308</v>
      </c>
      <c r="CD10" s="5">
        <v>81.8909930337477</v>
      </c>
      <c r="CE10" s="5">
        <v>2665.778974492748</v>
      </c>
      <c r="CF10" s="5">
        <v>2642.9750529241205</v>
      </c>
      <c r="CG10" s="5">
        <v>22</v>
      </c>
      <c r="CH10" s="5">
        <v>0.803921568627451</v>
      </c>
      <c r="CI10" s="5">
        <v>342.92332239735396</v>
      </c>
      <c r="CJ10" s="5">
        <v>2182.165115229104</v>
      </c>
      <c r="CK10" s="5">
        <v>397.66669041145366</v>
      </c>
      <c r="CL10" s="5">
        <v>223.36992806332833</v>
      </c>
      <c r="CM10" s="5">
        <v>2050.910915244488</v>
      </c>
      <c r="CN10" s="5">
        <v>267.8496038633772</v>
      </c>
      <c r="CO10" s="5">
        <v>618.3421372983784</v>
      </c>
      <c r="CP10" s="5">
        <v>387.15068609057124</v>
      </c>
      <c r="CQ10" s="5">
        <v>62.36827863671479</v>
      </c>
      <c r="CR10" s="5">
        <v>14.389065692795967</v>
      </c>
      <c r="CS10" s="5">
        <v>3</v>
      </c>
      <c r="CT10" s="5">
        <v>2050.910915244488</v>
      </c>
      <c r="CU10" s="5">
        <v>697.8111436626501</v>
      </c>
      <c r="CV10" s="5">
        <v>471.0304749291837</v>
      </c>
      <c r="CW10" s="5">
        <v>64.95555745067941</v>
      </c>
      <c r="CX10" s="5">
        <v>59.10661074936541</v>
      </c>
      <c r="CY10" s="5">
        <v>68.1025641025641</v>
      </c>
      <c r="CZ10" s="5">
        <v>34.615936430857516</v>
      </c>
      <c r="DA10" s="5">
        <v>62.36827863671479</v>
      </c>
      <c r="DB10" s="5">
        <v>19.58514412416851</v>
      </c>
      <c r="DC10" s="5">
        <v>17.80392156862745</v>
      </c>
      <c r="DD10" s="5">
        <v>0</v>
      </c>
      <c r="DE10" s="5">
        <v>1287.731492945123</v>
      </c>
      <c r="DF10" s="5">
        <v>119.76708905632866</v>
      </c>
      <c r="DG10" s="5">
        <v>273.8259483701377</v>
      </c>
      <c r="DH10" s="5">
        <v>167.74314227140624</v>
      </c>
      <c r="DI10" s="5">
        <v>443.66053783614757</v>
      </c>
      <c r="DJ10" s="5">
        <v>282.73477541110253</v>
      </c>
      <c r="DK10" s="5">
        <v>1287.731492945123</v>
      </c>
      <c r="DL10" s="5">
        <v>94.30003143676028</v>
      </c>
      <c r="DM10" s="5">
        <v>12.009049773755656</v>
      </c>
      <c r="DN10" s="5">
        <v>38.68615612030246</v>
      </c>
      <c r="DO10" s="5">
        <v>3</v>
      </c>
      <c r="DP10" s="5">
        <v>12.072727272727272</v>
      </c>
      <c r="DQ10" s="5">
        <v>153.20368746509348</v>
      </c>
      <c r="DR10" s="5">
        <v>121.66265580426268</v>
      </c>
      <c r="DS10" s="5">
        <v>70.39502429660249</v>
      </c>
      <c r="DT10" s="5">
        <v>209.3924361148177</v>
      </c>
      <c r="DU10" s="5">
        <v>23.638927738927737</v>
      </c>
      <c r="DV10" s="5">
        <v>9.102564102564102</v>
      </c>
      <c r="DW10" s="5">
        <v>21.563109296251334</v>
      </c>
      <c r="DX10" s="5">
        <v>53.03704320547936</v>
      </c>
      <c r="DY10" s="5">
        <v>34.46219662690251</v>
      </c>
      <c r="DZ10" s="5">
        <v>62.974209816964475</v>
      </c>
      <c r="EA10" s="5">
        <v>119.25191613742545</v>
      </c>
      <c r="EB10" s="5">
        <v>162.09865858675042</v>
      </c>
      <c r="EC10" s="5">
        <v>86.8810991495353</v>
      </c>
      <c r="ED10" s="5">
        <v>1287.731492945123</v>
      </c>
      <c r="EE10" s="5">
        <v>177.79323808663835</v>
      </c>
      <c r="EF10" s="5">
        <v>177.62108169210035</v>
      </c>
      <c r="EG10" s="5">
        <v>114.05804095474109</v>
      </c>
      <c r="EH10" s="5">
        <v>100.23072541996501</v>
      </c>
      <c r="EI10" s="5">
        <v>297.2557698160281</v>
      </c>
      <c r="EJ10" s="5">
        <v>139.24875640858423</v>
      </c>
      <c r="EK10" s="5">
        <v>49.817017989184414</v>
      </c>
      <c r="EL10" s="5">
        <v>85.28506185349801</v>
      </c>
      <c r="EM10" s="5">
        <v>146.42180072438322</v>
      </c>
      <c r="EN10" s="5">
        <v>2348.145282646574</v>
      </c>
      <c r="EO10" s="5">
        <v>528.6820964305899</v>
      </c>
      <c r="EP10" s="5">
        <v>521.5323765187468</v>
      </c>
      <c r="EQ10" s="5">
        <v>319.29365713196415</v>
      </c>
      <c r="ER10" s="5">
        <v>196.67817318979442</v>
      </c>
      <c r="ES10" s="5">
        <v>781.9589793754785</v>
      </c>
      <c r="ET10" s="11">
        <v>1637.6165390802407</v>
      </c>
      <c r="EU10" s="11">
        <v>1243.7854317370818</v>
      </c>
      <c r="EV10" s="11">
        <v>393.83110734315903</v>
      </c>
      <c r="EW10" s="11">
        <v>340.76382364646355</v>
      </c>
      <c r="EX10" s="11">
        <v>53.06728369669546</v>
      </c>
      <c r="EY10" s="11">
        <v>1243.7854317370818</v>
      </c>
      <c r="EZ10" s="11">
        <v>902.8189623862507</v>
      </c>
      <c r="FA10" s="11">
        <v>235.17948015638115</v>
      </c>
      <c r="FB10" s="11">
        <v>47.26736596736597</v>
      </c>
      <c r="FC10" s="11">
        <v>41.79027232929672</v>
      </c>
      <c r="FD10" s="11">
        <v>16.729350897787054</v>
      </c>
      <c r="FE10" s="11">
        <v>206.8634022601024</v>
      </c>
      <c r="FF10" s="11">
        <v>209.8827057686455</v>
      </c>
      <c r="FG10" s="11">
        <v>131.86424637055913</v>
      </c>
      <c r="FH10" s="11">
        <v>230.83470183570614</v>
      </c>
      <c r="FI10" s="11">
        <v>156.43662817335704</v>
      </c>
      <c r="FJ10" s="11">
        <v>74.01934731934732</v>
      </c>
      <c r="FK10" s="11">
        <v>62.50137452217796</v>
      </c>
      <c r="FL10" s="11">
        <v>32.375416453465235</v>
      </c>
      <c r="FM10" s="11">
        <v>4.048780487804878</v>
      </c>
      <c r="FN10" s="11">
        <v>47.08582369328423</v>
      </c>
      <c r="FO10" s="11">
        <v>41.372325283516105</v>
      </c>
      <c r="FP10" s="11">
        <v>14.205128205128204</v>
      </c>
      <c r="FQ10" s="11">
        <v>0</v>
      </c>
      <c r="FR10" s="11">
        <v>6.803921568627451</v>
      </c>
      <c r="FS10" s="11">
        <v>25.491629795360065</v>
      </c>
      <c r="FT10" s="11">
        <v>1243.7854317370818</v>
      </c>
      <c r="FU10" s="11">
        <v>21</v>
      </c>
      <c r="FV10" s="11">
        <v>250.1029965252347</v>
      </c>
      <c r="FW10" s="11">
        <v>69.90806754221387</v>
      </c>
      <c r="FX10" s="11">
        <v>69.83905281710159</v>
      </c>
      <c r="FY10" s="11">
        <v>46.08582369328423</v>
      </c>
      <c r="FZ10" s="11">
        <v>20.839052817101596</v>
      </c>
      <c r="GA10" s="11">
        <v>11.24677087618264</v>
      </c>
      <c r="GB10" s="11">
        <v>14</v>
      </c>
      <c r="GC10" s="11">
        <v>105.43015554507663</v>
      </c>
      <c r="GD10" s="11">
        <v>101.43324671502576</v>
      </c>
      <c r="GE10" s="11">
        <v>160.80112068706046</v>
      </c>
      <c r="GF10" s="11">
        <v>447.19760344867956</v>
      </c>
      <c r="GG10" s="11">
        <v>377.18325925628653</v>
      </c>
      <c r="GH10" s="11">
        <v>0</v>
      </c>
      <c r="GI10" s="11">
        <v>27.048780487804876</v>
      </c>
      <c r="GJ10" s="11">
        <v>11.536363636363637</v>
      </c>
      <c r="GK10" s="11">
        <v>22.175291375291376</v>
      </c>
      <c r="GL10" s="11">
        <v>9.253908692933082</v>
      </c>
      <c r="GM10" s="11">
        <v>1643.2629119804153</v>
      </c>
      <c r="GN10" s="11">
        <v>467.0842087133335</v>
      </c>
      <c r="GO10" s="11">
        <v>1</v>
      </c>
      <c r="GP10" s="11">
        <v>17.51282051282051</v>
      </c>
      <c r="GQ10" s="11">
        <v>147.80637631139783</v>
      </c>
      <c r="GR10" s="11">
        <v>0</v>
      </c>
      <c r="GS10" s="11">
        <v>622.6747328711461</v>
      </c>
      <c r="GT10" s="11">
        <v>147.31828014166607</v>
      </c>
      <c r="GU10" s="11">
        <v>2</v>
      </c>
      <c r="GV10" s="11">
        <v>19.307692307692307</v>
      </c>
      <c r="GW10" s="11">
        <v>189.55475447555793</v>
      </c>
      <c r="GX10" s="11">
        <v>29.00404664680131</v>
      </c>
    </row>
    <row r="11" spans="1:206" ht="12.75">
      <c r="A11" s="5" t="s">
        <v>275</v>
      </c>
      <c r="B11" s="5">
        <v>933.083471</v>
      </c>
      <c r="C11" s="5">
        <v>2874.7579825834546</v>
      </c>
      <c r="D11" s="5">
        <v>127.0839985486212</v>
      </c>
      <c r="E11" s="5">
        <v>368.2128084179971</v>
      </c>
      <c r="F11" s="5">
        <v>313.4154571843251</v>
      </c>
      <c r="G11" s="5">
        <v>506.2117198838897</v>
      </c>
      <c r="H11" s="5">
        <v>764.0575108853411</v>
      </c>
      <c r="I11" s="5">
        <v>548.0852685050799</v>
      </c>
      <c r="J11" s="5">
        <v>247.69121915820028</v>
      </c>
      <c r="K11" s="5">
        <v>495.2968069666183</v>
      </c>
      <c r="L11" s="5">
        <v>1803.5065312046445</v>
      </c>
      <c r="M11" s="5">
        <v>575.9546444121916</v>
      </c>
      <c r="N11" s="5">
        <v>1423.1861393323657</v>
      </c>
      <c r="O11" s="5">
        <v>1451.5718432510885</v>
      </c>
      <c r="P11" s="5">
        <v>2862.7579825834546</v>
      </c>
      <c r="Q11" s="5">
        <v>12</v>
      </c>
      <c r="R11" s="5">
        <v>1236.132801161103</v>
      </c>
      <c r="S11" s="5">
        <v>338.8681059506531</v>
      </c>
      <c r="T11" s="5">
        <v>479.1757982583454</v>
      </c>
      <c r="U11" s="5">
        <v>192.75743831640057</v>
      </c>
      <c r="V11" s="5">
        <v>154.35214078374457</v>
      </c>
      <c r="W11" s="5">
        <v>56.01850507982583</v>
      </c>
      <c r="X11" s="5">
        <v>14.960812772133528</v>
      </c>
      <c r="Y11" s="5">
        <v>965.4499274310595</v>
      </c>
      <c r="Z11" s="5">
        <v>65.49746008708273</v>
      </c>
      <c r="AA11" s="5">
        <v>39.30769230769231</v>
      </c>
      <c r="AB11" s="5">
        <v>110.64840348330914</v>
      </c>
      <c r="AC11" s="5">
        <v>34.595065312046444</v>
      </c>
      <c r="AD11" s="5">
        <v>1916.8786284470245</v>
      </c>
      <c r="AE11" s="5">
        <v>125.72006531204644</v>
      </c>
      <c r="AF11" s="5">
        <v>517.6440493468795</v>
      </c>
      <c r="AG11" s="5">
        <v>451.5707547169811</v>
      </c>
      <c r="AH11" s="5">
        <v>141.19793178519592</v>
      </c>
      <c r="AI11" s="5">
        <v>1593.0172351233673</v>
      </c>
      <c r="AJ11" s="5">
        <v>879.7679608127721</v>
      </c>
      <c r="AK11" s="5">
        <v>304.43541364296084</v>
      </c>
      <c r="AL11" s="5">
        <v>74.53737300435414</v>
      </c>
      <c r="AM11" s="5">
        <v>23</v>
      </c>
      <c r="AN11" s="5">
        <v>203.09361393323658</v>
      </c>
      <c r="AO11" s="5">
        <v>307.96462264150944</v>
      </c>
      <c r="AP11" s="5">
        <v>2363.6997460087086</v>
      </c>
      <c r="AQ11" s="5">
        <v>2603.050072568941</v>
      </c>
      <c r="AR11" s="5">
        <v>167.95936139332366</v>
      </c>
      <c r="AS11" s="5">
        <v>27.307692307692307</v>
      </c>
      <c r="AT11" s="5">
        <v>11.32656023222061</v>
      </c>
      <c r="AU11" s="5">
        <v>65.11429608127722</v>
      </c>
      <c r="AV11" s="5">
        <v>2874.7579825834546</v>
      </c>
      <c r="AW11" s="5">
        <v>1861.56912191582</v>
      </c>
      <c r="AX11" s="5">
        <v>897.2213352685051</v>
      </c>
      <c r="AY11" s="5">
        <v>19.326560232220608</v>
      </c>
      <c r="AZ11" s="5">
        <v>7.0754716981132075</v>
      </c>
      <c r="BA11" s="5">
        <v>52.63425253991292</v>
      </c>
      <c r="BB11" s="5">
        <v>14.816944847605225</v>
      </c>
      <c r="BC11" s="5">
        <v>2874.7579825834546</v>
      </c>
      <c r="BD11" s="5">
        <v>1421.8670174165459</v>
      </c>
      <c r="BE11" s="5">
        <v>488.7171625544267</v>
      </c>
      <c r="BF11" s="5">
        <v>379.6181059506531</v>
      </c>
      <c r="BG11" s="5">
        <v>106.31585631349782</v>
      </c>
      <c r="BH11" s="5">
        <v>278.3399854862119</v>
      </c>
      <c r="BI11" s="5">
        <v>139.06549346879535</v>
      </c>
      <c r="BJ11" s="5">
        <v>53.526669085631355</v>
      </c>
      <c r="BK11" s="5">
        <v>7.3076923076923075</v>
      </c>
      <c r="BL11" s="5">
        <v>2874.7579825834546</v>
      </c>
      <c r="BM11" s="5">
        <v>894.4140058055152</v>
      </c>
      <c r="BN11" s="5">
        <v>220.33218432510887</v>
      </c>
      <c r="BO11" s="5">
        <v>357.91473149492015</v>
      </c>
      <c r="BP11" s="5">
        <v>1</v>
      </c>
      <c r="BQ11" s="5">
        <v>1096.0330188679245</v>
      </c>
      <c r="BR11" s="5">
        <v>268.1409651669086</v>
      </c>
      <c r="BS11" s="5">
        <v>2874.7579825834546</v>
      </c>
      <c r="BT11" s="5">
        <v>1768.8483309143685</v>
      </c>
      <c r="BU11" s="5">
        <v>912.9521044992744</v>
      </c>
      <c r="BV11" s="5">
        <v>22.932692307692307</v>
      </c>
      <c r="BW11" s="5">
        <v>20.34542815674891</v>
      </c>
      <c r="BX11" s="5">
        <v>7.037735849056604</v>
      </c>
      <c r="BY11" s="5">
        <v>53.95010885341074</v>
      </c>
      <c r="BZ11" s="5">
        <v>146.6794267053701</v>
      </c>
      <c r="CA11" s="5">
        <v>7.018867924528302</v>
      </c>
      <c r="CB11" s="5">
        <v>12.690856313497822</v>
      </c>
      <c r="CC11" s="5">
        <v>24.095428156748913</v>
      </c>
      <c r="CD11" s="5">
        <v>102.87427431059506</v>
      </c>
      <c r="CE11" s="5">
        <v>2804.4706095791</v>
      </c>
      <c r="CF11" s="5">
        <v>2796.3762699564586</v>
      </c>
      <c r="CG11" s="5">
        <v>6.09433962264151</v>
      </c>
      <c r="CH11" s="5">
        <v>2</v>
      </c>
      <c r="CI11" s="5">
        <v>129.43087808417997</v>
      </c>
      <c r="CJ11" s="5">
        <v>2613.243831640058</v>
      </c>
      <c r="CK11" s="5">
        <v>495.99800435413647</v>
      </c>
      <c r="CL11" s="5">
        <v>170.42017416545718</v>
      </c>
      <c r="CM11" s="5">
        <v>2131.7699564586355</v>
      </c>
      <c r="CN11" s="5">
        <v>314.1569303338171</v>
      </c>
      <c r="CO11" s="5">
        <v>737.0912554426704</v>
      </c>
      <c r="CP11" s="5">
        <v>373.0308417997097</v>
      </c>
      <c r="CQ11" s="5">
        <v>58.6438679245283</v>
      </c>
      <c r="CR11" s="5">
        <v>25</v>
      </c>
      <c r="CS11" s="5">
        <v>4</v>
      </c>
      <c r="CT11" s="5">
        <v>2131.7699564586355</v>
      </c>
      <c r="CU11" s="5">
        <v>619.84706095791</v>
      </c>
      <c r="CV11" s="5">
        <v>379.2737663280116</v>
      </c>
      <c r="CW11" s="5">
        <v>79.38425253991292</v>
      </c>
      <c r="CX11" s="5">
        <v>81.11393323657475</v>
      </c>
      <c r="CY11" s="5">
        <v>60.71081277213352</v>
      </c>
      <c r="CZ11" s="5">
        <v>19.364296081277214</v>
      </c>
      <c r="DA11" s="5">
        <v>58.6438679245283</v>
      </c>
      <c r="DB11" s="5">
        <v>8</v>
      </c>
      <c r="DC11" s="5">
        <v>23.6438679245283</v>
      </c>
      <c r="DD11" s="5">
        <v>3</v>
      </c>
      <c r="DE11" s="5">
        <v>1449.2790275761974</v>
      </c>
      <c r="DF11" s="5">
        <v>107.72714078374456</v>
      </c>
      <c r="DG11" s="5">
        <v>328.9952830188679</v>
      </c>
      <c r="DH11" s="5">
        <v>240.1609216255443</v>
      </c>
      <c r="DI11" s="5">
        <v>507.2804789550073</v>
      </c>
      <c r="DJ11" s="5">
        <v>265.1152031930334</v>
      </c>
      <c r="DK11" s="5">
        <v>1449.2790275761974</v>
      </c>
      <c r="DL11" s="5">
        <v>80.68196661828736</v>
      </c>
      <c r="DM11" s="5">
        <v>12.307692307692308</v>
      </c>
      <c r="DN11" s="5">
        <v>54.23929608127722</v>
      </c>
      <c r="DO11" s="5">
        <v>10</v>
      </c>
      <c r="DP11" s="5">
        <v>11</v>
      </c>
      <c r="DQ11" s="5">
        <v>151.15166908563134</v>
      </c>
      <c r="DR11" s="5">
        <v>167.39205370101598</v>
      </c>
      <c r="DS11" s="5">
        <v>54.99709724238026</v>
      </c>
      <c r="DT11" s="5">
        <v>192.74709724238025</v>
      </c>
      <c r="DU11" s="5">
        <v>23.509252539912914</v>
      </c>
      <c r="DV11" s="5">
        <v>14</v>
      </c>
      <c r="DW11" s="5">
        <v>25.43976777939042</v>
      </c>
      <c r="DX11" s="5">
        <v>73.06658200290275</v>
      </c>
      <c r="DY11" s="5">
        <v>69.60468069666183</v>
      </c>
      <c r="DZ11" s="5">
        <v>108.43940493468796</v>
      </c>
      <c r="EA11" s="5">
        <v>125.15166908563135</v>
      </c>
      <c r="EB11" s="5">
        <v>198.4579100145138</v>
      </c>
      <c r="EC11" s="5">
        <v>77.09288824383164</v>
      </c>
      <c r="ED11" s="5">
        <v>1449.2790275761974</v>
      </c>
      <c r="EE11" s="5">
        <v>206.40983309143687</v>
      </c>
      <c r="EF11" s="5">
        <v>260.9657111756169</v>
      </c>
      <c r="EG11" s="5">
        <v>168.74818577648767</v>
      </c>
      <c r="EH11" s="5">
        <v>112.09397677793905</v>
      </c>
      <c r="EI11" s="5">
        <v>241.95609579100145</v>
      </c>
      <c r="EJ11" s="5">
        <v>131.7656023222061</v>
      </c>
      <c r="EK11" s="5">
        <v>82.80624092888243</v>
      </c>
      <c r="EL11" s="5">
        <v>87.82402031930334</v>
      </c>
      <c r="EM11" s="5">
        <v>156.70936139332366</v>
      </c>
      <c r="EN11" s="5">
        <v>2379.461175616836</v>
      </c>
      <c r="EO11" s="5">
        <v>497.93359941944846</v>
      </c>
      <c r="EP11" s="5">
        <v>530.0977866473149</v>
      </c>
      <c r="EQ11" s="5">
        <v>365.91654571843253</v>
      </c>
      <c r="ER11" s="5">
        <v>216.18087808418</v>
      </c>
      <c r="ES11" s="5">
        <v>769.3323657474601</v>
      </c>
      <c r="ET11" s="11">
        <v>1368.55587808418</v>
      </c>
      <c r="EU11" s="11">
        <v>1236.132801161103</v>
      </c>
      <c r="EV11" s="11">
        <v>132.4230769230769</v>
      </c>
      <c r="EW11" s="11">
        <v>92.11538461538461</v>
      </c>
      <c r="EX11" s="11">
        <v>40.30769230769231</v>
      </c>
      <c r="EY11" s="11">
        <v>1236.132801161103</v>
      </c>
      <c r="EZ11" s="11">
        <v>844.9813134978228</v>
      </c>
      <c r="FA11" s="11">
        <v>254.01977503628447</v>
      </c>
      <c r="FB11" s="11">
        <v>100.36429608127722</v>
      </c>
      <c r="FC11" s="11">
        <v>24.383164005805515</v>
      </c>
      <c r="FD11" s="11">
        <v>12.384252539912916</v>
      </c>
      <c r="FE11" s="11">
        <v>169.4682510885341</v>
      </c>
      <c r="FF11" s="11">
        <v>169.399854862119</v>
      </c>
      <c r="FG11" s="11">
        <v>128.58544992743106</v>
      </c>
      <c r="FH11" s="11">
        <v>223.4600870827286</v>
      </c>
      <c r="FI11" s="11">
        <v>217.89876632801162</v>
      </c>
      <c r="FJ11" s="11">
        <v>70.43124092888243</v>
      </c>
      <c r="FK11" s="11">
        <v>59.58327285921626</v>
      </c>
      <c r="FL11" s="11">
        <v>56.32656023222061</v>
      </c>
      <c r="FM11" s="11">
        <v>7</v>
      </c>
      <c r="FN11" s="11">
        <v>44.88388969521045</v>
      </c>
      <c r="FO11" s="11">
        <v>31.0188679245283</v>
      </c>
      <c r="FP11" s="11">
        <v>21.182692307692307</v>
      </c>
      <c r="FQ11" s="11">
        <v>0</v>
      </c>
      <c r="FR11" s="11">
        <v>9</v>
      </c>
      <c r="FS11" s="11">
        <v>27.8938679245283</v>
      </c>
      <c r="FT11" s="11">
        <v>1236.132801161103</v>
      </c>
      <c r="FU11" s="11">
        <v>15.52812046444122</v>
      </c>
      <c r="FV11" s="11">
        <v>340.29190856313494</v>
      </c>
      <c r="FW11" s="11">
        <v>101.75743831640058</v>
      </c>
      <c r="FX11" s="11">
        <v>80.70972423802613</v>
      </c>
      <c r="FY11" s="11">
        <v>44.88388969521045</v>
      </c>
      <c r="FZ11" s="11">
        <v>19.65312046444122</v>
      </c>
      <c r="GA11" s="11">
        <v>18.923076923076923</v>
      </c>
      <c r="GB11" s="11">
        <v>6.3076923076923075</v>
      </c>
      <c r="GC11" s="11">
        <v>69.94049346879535</v>
      </c>
      <c r="GD11" s="11">
        <v>99.52775761973875</v>
      </c>
      <c r="GE11" s="11">
        <v>148.16346153846155</v>
      </c>
      <c r="GF11" s="11">
        <v>385.0426342525399</v>
      </c>
      <c r="GG11" s="11">
        <v>310.35359216255443</v>
      </c>
      <c r="GH11" s="11">
        <v>2</v>
      </c>
      <c r="GI11" s="11">
        <v>27.152031930333816</v>
      </c>
      <c r="GJ11" s="11">
        <v>12</v>
      </c>
      <c r="GK11" s="11">
        <v>17.921625544267055</v>
      </c>
      <c r="GL11" s="11">
        <v>15.615384615384615</v>
      </c>
      <c r="GM11" s="11">
        <v>1901.0399129172715</v>
      </c>
      <c r="GN11" s="11">
        <v>406.97206095791</v>
      </c>
      <c r="GO11" s="11">
        <v>2</v>
      </c>
      <c r="GP11" s="11">
        <v>15.509252539912918</v>
      </c>
      <c r="GQ11" s="11">
        <v>159.119557329463</v>
      </c>
      <c r="GR11" s="11">
        <v>4.018867924528302</v>
      </c>
      <c r="GS11" s="11">
        <v>853.8701015965166</v>
      </c>
      <c r="GT11" s="11">
        <v>174.3621190130624</v>
      </c>
      <c r="GU11" s="11">
        <v>3.1826923076923075</v>
      </c>
      <c r="GV11" s="11">
        <v>30.0188679245283</v>
      </c>
      <c r="GW11" s="11">
        <v>231.09252539912916</v>
      </c>
      <c r="GX11" s="11">
        <v>20.8938679245283</v>
      </c>
    </row>
    <row r="12" spans="1:206" ht="12.75">
      <c r="A12" s="5" t="s">
        <v>276</v>
      </c>
      <c r="B12" s="5">
        <v>2208.734218</v>
      </c>
      <c r="C12" s="5">
        <v>6073.164143902075</v>
      </c>
      <c r="D12" s="5">
        <v>285.89478108098797</v>
      </c>
      <c r="E12" s="5">
        <v>646.2838305372788</v>
      </c>
      <c r="F12" s="5">
        <v>725.4395099153719</v>
      </c>
      <c r="G12" s="5">
        <v>825.7320943424392</v>
      </c>
      <c r="H12" s="5">
        <v>1469.686943516254</v>
      </c>
      <c r="I12" s="5">
        <v>1422.6402092160715</v>
      </c>
      <c r="J12" s="5">
        <v>697.4867752936718</v>
      </c>
      <c r="K12" s="5">
        <v>932.1786116182668</v>
      </c>
      <c r="L12" s="5">
        <v>3563.6314943677016</v>
      </c>
      <c r="M12" s="5">
        <v>1577.3540379161068</v>
      </c>
      <c r="N12" s="5">
        <v>2925.7309311378276</v>
      </c>
      <c r="O12" s="5">
        <v>3147.4332127642474</v>
      </c>
      <c r="P12" s="5">
        <v>6046.957247350351</v>
      </c>
      <c r="Q12" s="5">
        <v>26.20689655172414</v>
      </c>
      <c r="R12" s="5">
        <v>2893.27081366909</v>
      </c>
      <c r="S12" s="5">
        <v>1032.8898142087796</v>
      </c>
      <c r="T12" s="5">
        <v>1117.0275425723703</v>
      </c>
      <c r="U12" s="5">
        <v>362.0433893692515</v>
      </c>
      <c r="V12" s="5">
        <v>260.21988184229565</v>
      </c>
      <c r="W12" s="5">
        <v>87.53846153846155</v>
      </c>
      <c r="X12" s="5">
        <v>33.55172413793103</v>
      </c>
      <c r="Y12" s="5">
        <v>1915.4130633734082</v>
      </c>
      <c r="Z12" s="5">
        <v>502.546057390885</v>
      </c>
      <c r="AA12" s="5">
        <v>104.60367218987909</v>
      </c>
      <c r="AB12" s="5">
        <v>207.43634124496194</v>
      </c>
      <c r="AC12" s="5">
        <v>119.01716731544317</v>
      </c>
      <c r="AD12" s="5">
        <v>3509.4697991663506</v>
      </c>
      <c r="AE12" s="5">
        <v>591.7834475868958</v>
      </c>
      <c r="AF12" s="5">
        <v>1414.9553113553113</v>
      </c>
      <c r="AG12" s="5">
        <v>655.7396126861644</v>
      </c>
      <c r="AH12" s="5">
        <v>230.7924420407179</v>
      </c>
      <c r="AI12" s="5">
        <v>2986.2745949452847</v>
      </c>
      <c r="AJ12" s="5">
        <v>1894.0606979227668</v>
      </c>
      <c r="AK12" s="5">
        <v>846.0698232801681</v>
      </c>
      <c r="AL12" s="5">
        <v>265.18479279341346</v>
      </c>
      <c r="AM12" s="5">
        <v>81.57423496044186</v>
      </c>
      <c r="AN12" s="5">
        <v>619.1606646227335</v>
      </c>
      <c r="AO12" s="5">
        <v>814.608486341245</v>
      </c>
      <c r="AP12" s="5">
        <v>4639.394992938096</v>
      </c>
      <c r="AQ12" s="5">
        <v>5492.818871358526</v>
      </c>
      <c r="AR12" s="5">
        <v>333.0998553170967</v>
      </c>
      <c r="AS12" s="5">
        <v>53.27790715032094</v>
      </c>
      <c r="AT12" s="5">
        <v>46.07011494252873</v>
      </c>
      <c r="AU12" s="5">
        <v>147.89739513360203</v>
      </c>
      <c r="AV12" s="5">
        <v>6073.164143902075</v>
      </c>
      <c r="AW12" s="5">
        <v>4671.260255261979</v>
      </c>
      <c r="AX12" s="5">
        <v>1220.2250031577619</v>
      </c>
      <c r="AY12" s="5">
        <v>26.153230103230104</v>
      </c>
      <c r="AZ12" s="5">
        <v>28.051948051948052</v>
      </c>
      <c r="BA12" s="5">
        <v>80.87003513727652</v>
      </c>
      <c r="BB12" s="5">
        <v>26</v>
      </c>
      <c r="BC12" s="5">
        <v>6073.164143902075</v>
      </c>
      <c r="BD12" s="5">
        <v>3730.8822711770986</v>
      </c>
      <c r="BE12" s="5">
        <v>709.2770120683914</v>
      </c>
      <c r="BF12" s="5">
        <v>754.1738405272888</v>
      </c>
      <c r="BG12" s="5">
        <v>114.93608001194208</v>
      </c>
      <c r="BH12" s="5">
        <v>394.57850368022775</v>
      </c>
      <c r="BI12" s="5">
        <v>238.84534316258456</v>
      </c>
      <c r="BJ12" s="5">
        <v>123.95270246994384</v>
      </c>
      <c r="BK12" s="5">
        <v>6.518390804597701</v>
      </c>
      <c r="BL12" s="5">
        <v>6073.164143902075</v>
      </c>
      <c r="BM12" s="5">
        <v>2493.239962336514</v>
      </c>
      <c r="BN12" s="5">
        <v>254.14687324170083</v>
      </c>
      <c r="BO12" s="5">
        <v>666.3346440915407</v>
      </c>
      <c r="BP12" s="5">
        <v>13</v>
      </c>
      <c r="BQ12" s="5">
        <v>2036.6204467945847</v>
      </c>
      <c r="BR12" s="5">
        <v>563.5343461136565</v>
      </c>
      <c r="BS12" s="5">
        <v>6073.164143902075</v>
      </c>
      <c r="BT12" s="5">
        <v>4451.157661878352</v>
      </c>
      <c r="BU12" s="5">
        <v>1353.3119105032897</v>
      </c>
      <c r="BV12" s="5">
        <v>36.5183908045977</v>
      </c>
      <c r="BW12" s="5">
        <v>21.653006189213087</v>
      </c>
      <c r="BX12" s="5">
        <v>12.051948051948052</v>
      </c>
      <c r="BY12" s="5">
        <v>90.77149115252564</v>
      </c>
      <c r="BZ12" s="5">
        <v>210.5231745266228</v>
      </c>
      <c r="CA12" s="5">
        <v>20.051948051948052</v>
      </c>
      <c r="CB12" s="5">
        <v>37.23806366047745</v>
      </c>
      <c r="CC12" s="5">
        <v>35.776525198939</v>
      </c>
      <c r="CD12" s="5">
        <v>117.45663761525832</v>
      </c>
      <c r="CE12" s="5">
        <v>5906.940983728915</v>
      </c>
      <c r="CF12" s="5">
        <v>5860.389259590984</v>
      </c>
      <c r="CG12" s="5">
        <v>43.55172413793103</v>
      </c>
      <c r="CH12" s="5">
        <v>3</v>
      </c>
      <c r="CI12" s="5">
        <v>156.24887124369883</v>
      </c>
      <c r="CJ12" s="5">
        <v>5659.09564056633</v>
      </c>
      <c r="CK12" s="5">
        <v>1225.10706707086</v>
      </c>
      <c r="CL12" s="5">
        <v>217.98144958489786</v>
      </c>
      <c r="CM12" s="5">
        <v>4443.498756990137</v>
      </c>
      <c r="CN12" s="5">
        <v>654.4435185504151</v>
      </c>
      <c r="CO12" s="5">
        <v>1354.079131213614</v>
      </c>
      <c r="CP12" s="5">
        <v>573.9089450779106</v>
      </c>
      <c r="CQ12" s="5">
        <v>190.28588997209687</v>
      </c>
      <c r="CR12" s="5">
        <v>41.37900432900433</v>
      </c>
      <c r="CS12" s="5">
        <v>16.051948051948052</v>
      </c>
      <c r="CT12" s="5">
        <v>4443.498756990137</v>
      </c>
      <c r="CU12" s="5">
        <v>1613.3503197951472</v>
      </c>
      <c r="CV12" s="5">
        <v>1020.6000889914683</v>
      </c>
      <c r="CW12" s="5">
        <v>138.4299792161861</v>
      </c>
      <c r="CX12" s="5">
        <v>182.13265986886677</v>
      </c>
      <c r="CY12" s="5">
        <v>203.63586758069516</v>
      </c>
      <c r="CZ12" s="5">
        <v>68.55172413793103</v>
      </c>
      <c r="DA12" s="5">
        <v>190.28588997209687</v>
      </c>
      <c r="DB12" s="5">
        <v>54.622286908493805</v>
      </c>
      <c r="DC12" s="5">
        <v>53.17121212121212</v>
      </c>
      <c r="DD12" s="5">
        <v>18.5183908045977</v>
      </c>
      <c r="DE12" s="5">
        <v>2623.810599170944</v>
      </c>
      <c r="DF12" s="5">
        <v>183.4336640371123</v>
      </c>
      <c r="DG12" s="5">
        <v>661.7576010196699</v>
      </c>
      <c r="DH12" s="5">
        <v>430.91799407489066</v>
      </c>
      <c r="DI12" s="5">
        <v>873.660104837691</v>
      </c>
      <c r="DJ12" s="5">
        <v>474.0412352015801</v>
      </c>
      <c r="DK12" s="5">
        <v>2623.810599170944</v>
      </c>
      <c r="DL12" s="5">
        <v>188.39962910652568</v>
      </c>
      <c r="DM12" s="5">
        <v>28.153230103230104</v>
      </c>
      <c r="DN12" s="5">
        <v>116.03156269018338</v>
      </c>
      <c r="DO12" s="5">
        <v>16.68633952254642</v>
      </c>
      <c r="DP12" s="5">
        <v>41.13461538461539</v>
      </c>
      <c r="DQ12" s="5">
        <v>354.3760234018855</v>
      </c>
      <c r="DR12" s="5">
        <v>320.6533610068093</v>
      </c>
      <c r="DS12" s="5">
        <v>105.1564935064935</v>
      </c>
      <c r="DT12" s="5">
        <v>240.57858750444956</v>
      </c>
      <c r="DU12" s="5">
        <v>54.107344379758175</v>
      </c>
      <c r="DV12" s="5">
        <v>24.53700552321242</v>
      </c>
      <c r="DW12" s="5">
        <v>54.84904291111188</v>
      </c>
      <c r="DX12" s="5">
        <v>90.92550954792334</v>
      </c>
      <c r="DY12" s="5">
        <v>95.20517815517816</v>
      </c>
      <c r="DZ12" s="5">
        <v>154.2808559256835</v>
      </c>
      <c r="EA12" s="5">
        <v>176.32547050650498</v>
      </c>
      <c r="EB12" s="5">
        <v>413.2420407179028</v>
      </c>
      <c r="EC12" s="5">
        <v>149.16830927692996</v>
      </c>
      <c r="ED12" s="5">
        <v>2623.810599170944</v>
      </c>
      <c r="EE12" s="5">
        <v>254.749114678425</v>
      </c>
      <c r="EF12" s="5">
        <v>290.51523993248134</v>
      </c>
      <c r="EG12" s="5">
        <v>222.18518837484356</v>
      </c>
      <c r="EH12" s="5">
        <v>218.373918035987</v>
      </c>
      <c r="EI12" s="5">
        <v>596.8747941713459</v>
      </c>
      <c r="EJ12" s="5">
        <v>339.74003525210424</v>
      </c>
      <c r="EK12" s="5">
        <v>170.82746506367198</v>
      </c>
      <c r="EL12" s="5">
        <v>225.6618324204531</v>
      </c>
      <c r="EM12" s="5">
        <v>304.88301124163195</v>
      </c>
      <c r="EN12" s="5">
        <v>5140.985532283808</v>
      </c>
      <c r="EO12" s="5">
        <v>1582.086181060319</v>
      </c>
      <c r="EP12" s="5">
        <v>1317.7006051419844</v>
      </c>
      <c r="EQ12" s="5">
        <v>679.0893594910835</v>
      </c>
      <c r="ER12" s="5">
        <v>411.95772445944857</v>
      </c>
      <c r="ES12" s="5">
        <v>1150.1516621309725</v>
      </c>
      <c r="ET12" s="11">
        <v>3333.497029407374</v>
      </c>
      <c r="EU12" s="11">
        <v>2893.27081366909</v>
      </c>
      <c r="EV12" s="11">
        <v>440.2262157382847</v>
      </c>
      <c r="EW12" s="11">
        <v>314.60743853847305</v>
      </c>
      <c r="EX12" s="11">
        <v>125.61877719981169</v>
      </c>
      <c r="EY12" s="11">
        <v>2893.27081366909</v>
      </c>
      <c r="EZ12" s="11">
        <v>1335.1359588687174</v>
      </c>
      <c r="FA12" s="11">
        <v>1114.6667453236419</v>
      </c>
      <c r="FB12" s="11">
        <v>330.8908849770919</v>
      </c>
      <c r="FC12" s="11">
        <v>102.44260911502292</v>
      </c>
      <c r="FD12" s="11">
        <v>10.134615384615385</v>
      </c>
      <c r="FE12" s="11">
        <v>558.4025353956389</v>
      </c>
      <c r="FF12" s="11">
        <v>474.4872788131409</v>
      </c>
      <c r="FG12" s="11">
        <v>337.8959592132006</v>
      </c>
      <c r="FH12" s="11">
        <v>469.52654816447915</v>
      </c>
      <c r="FI12" s="11">
        <v>322.6384466108604</v>
      </c>
      <c r="FJ12" s="11">
        <v>147.9661780747988</v>
      </c>
      <c r="FK12" s="11">
        <v>121.63950647054097</v>
      </c>
      <c r="FL12" s="11">
        <v>103.11989676989677</v>
      </c>
      <c r="FM12" s="11">
        <v>17.307993730407524</v>
      </c>
      <c r="FN12" s="11">
        <v>148.72293625914315</v>
      </c>
      <c r="FO12" s="11">
        <v>93.05539632781012</v>
      </c>
      <c r="FP12" s="11">
        <v>28.68633952254642</v>
      </c>
      <c r="FQ12" s="11">
        <v>0.05194805194805195</v>
      </c>
      <c r="FR12" s="11">
        <v>8.357775557775557</v>
      </c>
      <c r="FS12" s="11">
        <v>61.412074706902295</v>
      </c>
      <c r="FT12" s="11">
        <v>2893.27081366909</v>
      </c>
      <c r="FU12" s="11">
        <v>82.17121212121212</v>
      </c>
      <c r="FV12" s="11">
        <v>603.1676191624467</v>
      </c>
      <c r="FW12" s="11">
        <v>220.89478108098797</v>
      </c>
      <c r="FX12" s="11">
        <v>151.51298701298703</v>
      </c>
      <c r="FY12" s="11">
        <v>147.72293625914315</v>
      </c>
      <c r="FZ12" s="11">
        <v>59</v>
      </c>
      <c r="GA12" s="11">
        <v>33.55172413793103</v>
      </c>
      <c r="GB12" s="11">
        <v>55.17121212121212</v>
      </c>
      <c r="GC12" s="11">
        <v>237.25394375739202</v>
      </c>
      <c r="GD12" s="11">
        <v>321.14859163824684</v>
      </c>
      <c r="GE12" s="11">
        <v>361.33818365542504</v>
      </c>
      <c r="GF12" s="11">
        <v>1101.1185222823153</v>
      </c>
      <c r="GG12" s="11">
        <v>795.3261611951268</v>
      </c>
      <c r="GH12" s="11">
        <v>3.051948051948052</v>
      </c>
      <c r="GI12" s="11">
        <v>180.55172413793105</v>
      </c>
      <c r="GJ12" s="11">
        <v>23</v>
      </c>
      <c r="GK12" s="11">
        <v>57.108441558441555</v>
      </c>
      <c r="GL12" s="11">
        <v>42.080247338868034</v>
      </c>
      <c r="GM12" s="11">
        <v>3448.543023643024</v>
      </c>
      <c r="GN12" s="11">
        <v>649.1241052051396</v>
      </c>
      <c r="GO12" s="11">
        <v>1</v>
      </c>
      <c r="GP12" s="11">
        <v>34.607120465741154</v>
      </c>
      <c r="GQ12" s="11">
        <v>313.78186239048307</v>
      </c>
      <c r="GR12" s="11">
        <v>7</v>
      </c>
      <c r="GS12" s="11">
        <v>1479.871035860691</v>
      </c>
      <c r="GT12" s="11">
        <v>308.7741476913891</v>
      </c>
      <c r="GU12" s="11">
        <v>2.051948051948052</v>
      </c>
      <c r="GV12" s="11">
        <v>42.05194805194805</v>
      </c>
      <c r="GW12" s="11">
        <v>562.7676840400978</v>
      </c>
      <c r="GX12" s="11">
        <v>47.51317188558568</v>
      </c>
    </row>
    <row r="13" spans="1:206" ht="12.75">
      <c r="A13" s="5" t="s">
        <v>277</v>
      </c>
      <c r="B13" s="5">
        <v>696.846097</v>
      </c>
      <c r="C13" s="5">
        <v>6177.97512437811</v>
      </c>
      <c r="D13" s="5">
        <v>294.025641025641</v>
      </c>
      <c r="E13" s="5">
        <v>753.0348258706467</v>
      </c>
      <c r="F13" s="5">
        <v>792.3291236127056</v>
      </c>
      <c r="G13" s="5">
        <v>1087.7129735935705</v>
      </c>
      <c r="H13" s="5">
        <v>1374.0206659012629</v>
      </c>
      <c r="I13" s="5">
        <v>1269.0841944125525</v>
      </c>
      <c r="J13" s="5">
        <v>607.7676999617298</v>
      </c>
      <c r="K13" s="5">
        <v>1047.0604668962878</v>
      </c>
      <c r="L13" s="5">
        <v>3800.4446995790277</v>
      </c>
      <c r="M13" s="5">
        <v>1330.4699579027938</v>
      </c>
      <c r="N13" s="5">
        <v>3002.3478760045923</v>
      </c>
      <c r="O13" s="5">
        <v>3175.627248373517</v>
      </c>
      <c r="P13" s="5">
        <v>6014.915422885572</v>
      </c>
      <c r="Q13" s="5">
        <v>163.05970149253733</v>
      </c>
      <c r="R13" s="5">
        <v>2703.9146574818215</v>
      </c>
      <c r="S13" s="5">
        <v>832.0241102181401</v>
      </c>
      <c r="T13" s="5">
        <v>1086.0348258706467</v>
      </c>
      <c r="U13" s="5">
        <v>352.93417527745885</v>
      </c>
      <c r="V13" s="5">
        <v>280.6655185610409</v>
      </c>
      <c r="W13" s="5">
        <v>104.230386528894</v>
      </c>
      <c r="X13" s="5">
        <v>48.02564102564102</v>
      </c>
      <c r="Y13" s="5">
        <v>1845.9686184462303</v>
      </c>
      <c r="Z13" s="5">
        <v>223</v>
      </c>
      <c r="AA13" s="5">
        <v>128.29429774205892</v>
      </c>
      <c r="AB13" s="5">
        <v>337.0757749712974</v>
      </c>
      <c r="AC13" s="5">
        <v>104.28166858017605</v>
      </c>
      <c r="AD13" s="5">
        <v>3767.5752009184844</v>
      </c>
      <c r="AE13" s="5">
        <v>365.3838499808649</v>
      </c>
      <c r="AF13" s="5">
        <v>1282.8304630692692</v>
      </c>
      <c r="AG13" s="5">
        <v>785.9066207424416</v>
      </c>
      <c r="AH13" s="5">
        <v>269.79372368924606</v>
      </c>
      <c r="AI13" s="5">
        <v>3515.5101415996937</v>
      </c>
      <c r="AJ13" s="5">
        <v>1827.0972062763108</v>
      </c>
      <c r="AK13" s="5">
        <v>615.638346727899</v>
      </c>
      <c r="AL13" s="5">
        <v>167.52468427095295</v>
      </c>
      <c r="AM13" s="5">
        <v>52.204745503252965</v>
      </c>
      <c r="AN13" s="5">
        <v>462.1006505931879</v>
      </c>
      <c r="AO13" s="5">
        <v>610.8323765786453</v>
      </c>
      <c r="AP13" s="5">
        <v>5105.042097206277</v>
      </c>
      <c r="AQ13" s="5">
        <v>5590.477994642174</v>
      </c>
      <c r="AR13" s="5">
        <v>355.8828932261768</v>
      </c>
      <c r="AS13" s="5">
        <v>49.08955223880597</v>
      </c>
      <c r="AT13" s="5">
        <v>49.204745503252965</v>
      </c>
      <c r="AU13" s="5">
        <v>133.31993876769997</v>
      </c>
      <c r="AV13" s="5">
        <v>6177.97512437811</v>
      </c>
      <c r="AW13" s="5">
        <v>4477.278606965174</v>
      </c>
      <c r="AX13" s="5">
        <v>1344.7240719479523</v>
      </c>
      <c r="AY13" s="5">
        <v>33.115193264446994</v>
      </c>
      <c r="AZ13" s="5">
        <v>117</v>
      </c>
      <c r="BA13" s="5">
        <v>132.71641791044777</v>
      </c>
      <c r="BB13" s="5">
        <v>27.08955223880597</v>
      </c>
      <c r="BC13" s="5">
        <v>6177.97512437811</v>
      </c>
      <c r="BD13" s="5">
        <v>3363.8342900880216</v>
      </c>
      <c r="BE13" s="5">
        <v>835.7275162648298</v>
      </c>
      <c r="BF13" s="5">
        <v>882.4952162265595</v>
      </c>
      <c r="BG13" s="5">
        <v>187.371220818982</v>
      </c>
      <c r="BH13" s="5">
        <v>388.062380405664</v>
      </c>
      <c r="BI13" s="5">
        <v>268.83199387676996</v>
      </c>
      <c r="BJ13" s="5">
        <v>230.65250669728283</v>
      </c>
      <c r="BK13" s="5">
        <v>21</v>
      </c>
      <c r="BL13" s="5">
        <v>6177.97512437811</v>
      </c>
      <c r="BM13" s="5">
        <v>2356.926521239954</v>
      </c>
      <c r="BN13" s="5">
        <v>369.4737849215461</v>
      </c>
      <c r="BO13" s="5">
        <v>526.0221967087639</v>
      </c>
      <c r="BP13" s="5">
        <v>14</v>
      </c>
      <c r="BQ13" s="5">
        <v>2428.97665518561</v>
      </c>
      <c r="BR13" s="5">
        <v>440.575966322235</v>
      </c>
      <c r="BS13" s="5">
        <v>6177.97512437811</v>
      </c>
      <c r="BT13" s="5">
        <v>4243.8817451205505</v>
      </c>
      <c r="BU13" s="5">
        <v>1431.9544584768464</v>
      </c>
      <c r="BV13" s="5">
        <v>45.115193264447</v>
      </c>
      <c r="BW13" s="5">
        <v>40.08955223880597</v>
      </c>
      <c r="BX13" s="5">
        <v>17.025641025641026</v>
      </c>
      <c r="BY13" s="5">
        <v>204.14083429008804</v>
      </c>
      <c r="BZ13" s="5">
        <v>415.93417527745885</v>
      </c>
      <c r="CA13" s="5">
        <v>73.44776119402985</v>
      </c>
      <c r="CB13" s="5">
        <v>118.17910447761194</v>
      </c>
      <c r="CC13" s="5">
        <v>56.08955223880597</v>
      </c>
      <c r="CD13" s="5">
        <v>168.21775736701107</v>
      </c>
      <c r="CE13" s="5">
        <v>6011.949483352469</v>
      </c>
      <c r="CF13" s="5">
        <v>5940.834290088022</v>
      </c>
      <c r="CG13" s="5">
        <v>56.115193264447</v>
      </c>
      <c r="CH13" s="5">
        <v>15</v>
      </c>
      <c r="CI13" s="5">
        <v>90.115193264447</v>
      </c>
      <c r="CJ13" s="5">
        <v>5855.476081132798</v>
      </c>
      <c r="CK13" s="5">
        <v>1598.0440107156523</v>
      </c>
      <c r="CL13" s="5">
        <v>352.80597014925377</v>
      </c>
      <c r="CM13" s="5">
        <v>4523.146957520092</v>
      </c>
      <c r="CN13" s="5">
        <v>625.5357826253348</v>
      </c>
      <c r="CO13" s="5">
        <v>1717.7217757367011</v>
      </c>
      <c r="CP13" s="5">
        <v>690.6253348641408</v>
      </c>
      <c r="CQ13" s="5">
        <v>150.4990432453119</v>
      </c>
      <c r="CR13" s="5">
        <v>58.14083429008802</v>
      </c>
      <c r="CS13" s="5">
        <v>9</v>
      </c>
      <c r="CT13" s="5">
        <v>4523.146957520092</v>
      </c>
      <c r="CU13" s="5">
        <v>1271.624186758515</v>
      </c>
      <c r="CV13" s="5">
        <v>835.8048220436281</v>
      </c>
      <c r="CW13" s="5">
        <v>123.28166858017605</v>
      </c>
      <c r="CX13" s="5">
        <v>150.14083429008804</v>
      </c>
      <c r="CY13" s="5">
        <v>103.34557979334099</v>
      </c>
      <c r="CZ13" s="5">
        <v>59.05128205128205</v>
      </c>
      <c r="DA13" s="5">
        <v>150.4990432453119</v>
      </c>
      <c r="DB13" s="5">
        <v>50.26865671641791</v>
      </c>
      <c r="DC13" s="5">
        <v>28.025641025641026</v>
      </c>
      <c r="DD13" s="5">
        <v>17</v>
      </c>
      <c r="DE13" s="5">
        <v>3092.023727516265</v>
      </c>
      <c r="DF13" s="5">
        <v>237.51205510907005</v>
      </c>
      <c r="DG13" s="5">
        <v>616.5996938384999</v>
      </c>
      <c r="DH13" s="5">
        <v>445.1898201301186</v>
      </c>
      <c r="DI13" s="5">
        <v>1241.3015690776886</v>
      </c>
      <c r="DJ13" s="5">
        <v>551.4205893608879</v>
      </c>
      <c r="DK13" s="5">
        <v>3092.023727516265</v>
      </c>
      <c r="DL13" s="5">
        <v>177.69115958668198</v>
      </c>
      <c r="DM13" s="5">
        <v>24</v>
      </c>
      <c r="DN13" s="5">
        <v>205.31993876769997</v>
      </c>
      <c r="DO13" s="5">
        <v>12.025641025641026</v>
      </c>
      <c r="DP13" s="5">
        <v>21.025641025641026</v>
      </c>
      <c r="DQ13" s="5">
        <v>304.396861844623</v>
      </c>
      <c r="DR13" s="5">
        <v>359.0493685419059</v>
      </c>
      <c r="DS13" s="5">
        <v>95.115193264447</v>
      </c>
      <c r="DT13" s="5">
        <v>395.40757749712975</v>
      </c>
      <c r="DU13" s="5">
        <v>45.14083429008802</v>
      </c>
      <c r="DV13" s="5">
        <v>51</v>
      </c>
      <c r="DW13" s="5">
        <v>87.30730960581707</v>
      </c>
      <c r="DX13" s="5">
        <v>129.17910447761193</v>
      </c>
      <c r="DY13" s="5">
        <v>125.02564102564102</v>
      </c>
      <c r="DZ13" s="5">
        <v>142.53731343283582</v>
      </c>
      <c r="EA13" s="5">
        <v>276.94680443934175</v>
      </c>
      <c r="EB13" s="5">
        <v>393.90853425181785</v>
      </c>
      <c r="EC13" s="5">
        <v>246.94680443934175</v>
      </c>
      <c r="ED13" s="5">
        <v>3092.023727516265</v>
      </c>
      <c r="EE13" s="5">
        <v>358.21546115575967</v>
      </c>
      <c r="EF13" s="5">
        <v>425.9211634137007</v>
      </c>
      <c r="EG13" s="5">
        <v>348.3562954458477</v>
      </c>
      <c r="EH13" s="5">
        <v>244.47340221967087</v>
      </c>
      <c r="EI13" s="5">
        <v>619.9858400306161</v>
      </c>
      <c r="EJ13" s="5">
        <v>310.550325296594</v>
      </c>
      <c r="EK13" s="5">
        <v>191.486414083429</v>
      </c>
      <c r="EL13" s="5">
        <v>233.21775736701107</v>
      </c>
      <c r="EM13" s="5">
        <v>359.8170685036357</v>
      </c>
      <c r="EN13" s="5">
        <v>5130.914657481821</v>
      </c>
      <c r="EO13" s="5">
        <v>1248.124760811328</v>
      </c>
      <c r="EP13" s="5">
        <v>1140.316877152698</v>
      </c>
      <c r="EQ13" s="5">
        <v>687.7661691542289</v>
      </c>
      <c r="ER13" s="5">
        <v>443.9724454649828</v>
      </c>
      <c r="ES13" s="5">
        <v>1610.734404898584</v>
      </c>
      <c r="ET13" s="11">
        <v>3220.051282051282</v>
      </c>
      <c r="EU13" s="11">
        <v>2703.9146574818215</v>
      </c>
      <c r="EV13" s="11">
        <v>516.1366245694604</v>
      </c>
      <c r="EW13" s="11">
        <v>459.50975889781864</v>
      </c>
      <c r="EX13" s="11">
        <v>56.626865671641795</v>
      </c>
      <c r="EY13" s="11">
        <v>2703.9146574818215</v>
      </c>
      <c r="EZ13" s="11">
        <v>1494.0061232300038</v>
      </c>
      <c r="FA13" s="11">
        <v>673.6142365097589</v>
      </c>
      <c r="FB13" s="11">
        <v>291.204745503253</v>
      </c>
      <c r="FC13" s="11">
        <v>235</v>
      </c>
      <c r="FD13" s="11">
        <v>10.08955223880597</v>
      </c>
      <c r="FE13" s="11">
        <v>414.52468427095295</v>
      </c>
      <c r="FF13" s="11">
        <v>417.49942594718715</v>
      </c>
      <c r="FG13" s="11">
        <v>276.575966322235</v>
      </c>
      <c r="FH13" s="11">
        <v>493.11327975507083</v>
      </c>
      <c r="FI13" s="11">
        <v>364.62724837351703</v>
      </c>
      <c r="FJ13" s="11">
        <v>148.44776119402985</v>
      </c>
      <c r="FK13" s="11">
        <v>145.230386528894</v>
      </c>
      <c r="FL13" s="11">
        <v>115.115193264447</v>
      </c>
      <c r="FM13" s="11">
        <v>11.051282051282051</v>
      </c>
      <c r="FN13" s="11">
        <v>143.3582089552239</v>
      </c>
      <c r="FO13" s="11">
        <v>76.07692307692308</v>
      </c>
      <c r="FP13" s="11">
        <v>31.204745503252965</v>
      </c>
      <c r="FQ13" s="11">
        <v>0</v>
      </c>
      <c r="FR13" s="11">
        <v>7</v>
      </c>
      <c r="FS13" s="11">
        <v>60.08955223880597</v>
      </c>
      <c r="FT13" s="11">
        <v>2703.9146574818215</v>
      </c>
      <c r="FU13" s="11">
        <v>59.17910447761194</v>
      </c>
      <c r="FV13" s="11">
        <v>654.3053960964409</v>
      </c>
      <c r="FW13" s="11">
        <v>235.02564102564102</v>
      </c>
      <c r="FX13" s="11">
        <v>136.43513203214695</v>
      </c>
      <c r="FY13" s="11">
        <v>142.3582089552239</v>
      </c>
      <c r="FZ13" s="11">
        <v>60</v>
      </c>
      <c r="GA13" s="11">
        <v>43.26865671641791</v>
      </c>
      <c r="GB13" s="11">
        <v>39.08955223880597</v>
      </c>
      <c r="GC13" s="11">
        <v>168.230386528894</v>
      </c>
      <c r="GD13" s="11">
        <v>246.29429774205894</v>
      </c>
      <c r="GE13" s="11">
        <v>297.4734022196709</v>
      </c>
      <c r="GF13" s="11">
        <v>876.4462303865289</v>
      </c>
      <c r="GG13" s="11">
        <v>661.1771909682357</v>
      </c>
      <c r="GH13" s="11">
        <v>4</v>
      </c>
      <c r="GI13" s="11">
        <v>66</v>
      </c>
      <c r="GJ13" s="11">
        <v>64.02564102564102</v>
      </c>
      <c r="GK13" s="11">
        <v>54.243398392652125</v>
      </c>
      <c r="GL13" s="11">
        <v>27</v>
      </c>
      <c r="GM13" s="11">
        <v>3988.3402219670875</v>
      </c>
      <c r="GN13" s="11">
        <v>756.6084959816303</v>
      </c>
      <c r="GO13" s="11">
        <v>1</v>
      </c>
      <c r="GP13" s="11">
        <v>29.115193264446994</v>
      </c>
      <c r="GQ13" s="11">
        <v>335.27975507079987</v>
      </c>
      <c r="GR13" s="11">
        <v>13</v>
      </c>
      <c r="GS13" s="11">
        <v>1663.2763107539226</v>
      </c>
      <c r="GT13" s="11">
        <v>328.742441637964</v>
      </c>
      <c r="GU13" s="11">
        <v>13</v>
      </c>
      <c r="GV13" s="11">
        <v>89</v>
      </c>
      <c r="GW13" s="11">
        <v>706.1515499425947</v>
      </c>
      <c r="GX13" s="11">
        <v>53.166475315729045</v>
      </c>
    </row>
    <row r="14" spans="1:206" ht="12.75">
      <c r="A14" s="5" t="s">
        <v>278</v>
      </c>
      <c r="B14" s="5">
        <v>72.228836</v>
      </c>
      <c r="C14" s="5">
        <v>5919.618960491883</v>
      </c>
      <c r="D14" s="5">
        <v>362.8103383357985</v>
      </c>
      <c r="E14" s="5">
        <v>759.8360405115448</v>
      </c>
      <c r="F14" s="5">
        <v>911.5766609454959</v>
      </c>
      <c r="G14" s="5">
        <v>1037.8679372454244</v>
      </c>
      <c r="H14" s="5">
        <v>1251.0957384222206</v>
      </c>
      <c r="I14" s="5">
        <v>1089.1849727850688</v>
      </c>
      <c r="J14" s="5">
        <v>507.24727224633006</v>
      </c>
      <c r="K14" s="5">
        <v>1122.6463788473432</v>
      </c>
      <c r="L14" s="5">
        <v>3632.125106684249</v>
      </c>
      <c r="M14" s="5">
        <v>1164.847474960291</v>
      </c>
      <c r="N14" s="5">
        <v>2908.046260340018</v>
      </c>
      <c r="O14" s="5">
        <v>3011.572700151865</v>
      </c>
      <c r="P14" s="5">
        <v>5791.91625778918</v>
      </c>
      <c r="Q14" s="5">
        <v>127.70270270270271</v>
      </c>
      <c r="R14" s="5">
        <v>2571.596286171739</v>
      </c>
      <c r="S14" s="5">
        <v>845.3772067068462</v>
      </c>
      <c r="T14" s="5">
        <v>904.0340285949292</v>
      </c>
      <c r="U14" s="5">
        <v>380.4775119215635</v>
      </c>
      <c r="V14" s="5">
        <v>278.13339823192587</v>
      </c>
      <c r="W14" s="5">
        <v>118.97387740384791</v>
      </c>
      <c r="X14" s="5">
        <v>44.600263312626225</v>
      </c>
      <c r="Y14" s="5">
        <v>1539.775724258437</v>
      </c>
      <c r="Z14" s="5">
        <v>366.81214144515286</v>
      </c>
      <c r="AA14" s="5">
        <v>402.86467654060397</v>
      </c>
      <c r="AB14" s="5">
        <v>185.14047347673295</v>
      </c>
      <c r="AC14" s="5">
        <v>46.116175717799756</v>
      </c>
      <c r="AD14" s="5">
        <v>2947.602523355457</v>
      </c>
      <c r="AE14" s="5">
        <v>615.4336597630111</v>
      </c>
      <c r="AF14" s="5">
        <v>1213.5407588265402</v>
      </c>
      <c r="AG14" s="5">
        <v>557.0862420232746</v>
      </c>
      <c r="AH14" s="5">
        <v>185.53562555891313</v>
      </c>
      <c r="AI14" s="5">
        <v>2925.7452191437355</v>
      </c>
      <c r="AJ14" s="5">
        <v>1793.491602937102</v>
      </c>
      <c r="AK14" s="5">
        <v>863.1373088638105</v>
      </c>
      <c r="AL14" s="5">
        <v>266.8578864728992</v>
      </c>
      <c r="AM14" s="5">
        <v>70.38694307433612</v>
      </c>
      <c r="AN14" s="5">
        <v>622.6587932609075</v>
      </c>
      <c r="AO14" s="5">
        <v>672.5273207245785</v>
      </c>
      <c r="AP14" s="5">
        <v>4624.432846506397</v>
      </c>
      <c r="AQ14" s="5">
        <v>5378.501237373458</v>
      </c>
      <c r="AR14" s="5">
        <v>265.97637431880185</v>
      </c>
      <c r="AS14" s="5">
        <v>50.171953899681164</v>
      </c>
      <c r="AT14" s="5">
        <v>40.6455121814045</v>
      </c>
      <c r="AU14" s="5">
        <v>184.3238827185381</v>
      </c>
      <c r="AV14" s="5">
        <v>5919.618960491883</v>
      </c>
      <c r="AW14" s="5">
        <v>4945.260281656561</v>
      </c>
      <c r="AX14" s="5">
        <v>698.9984600581932</v>
      </c>
      <c r="AY14" s="5">
        <v>38.48370825532232</v>
      </c>
      <c r="AZ14" s="5">
        <v>90.15096005515791</v>
      </c>
      <c r="BA14" s="5">
        <v>51.7191227643081</v>
      </c>
      <c r="BB14" s="5">
        <v>43.67563974742439</v>
      </c>
      <c r="BC14" s="5">
        <v>5919.618960491883</v>
      </c>
      <c r="BD14" s="5">
        <v>3925.7429809962096</v>
      </c>
      <c r="BE14" s="5">
        <v>490.0947263748459</v>
      </c>
      <c r="BF14" s="5">
        <v>851.9497841688028</v>
      </c>
      <c r="BG14" s="5">
        <v>114.92513326999342</v>
      </c>
      <c r="BH14" s="5">
        <v>247.08705558356056</v>
      </c>
      <c r="BI14" s="5">
        <v>140.65367762008358</v>
      </c>
      <c r="BJ14" s="5">
        <v>132.65763919881027</v>
      </c>
      <c r="BK14" s="5">
        <v>16.507963279577346</v>
      </c>
      <c r="BL14" s="5">
        <v>5919.618960491883</v>
      </c>
      <c r="BM14" s="5">
        <v>2277.0322196162156</v>
      </c>
      <c r="BN14" s="5">
        <v>395.62801814997823</v>
      </c>
      <c r="BO14" s="5">
        <v>434.1099917648395</v>
      </c>
      <c r="BP14" s="5">
        <v>7.014290461947491</v>
      </c>
      <c r="BQ14" s="5">
        <v>2301.6583409986574</v>
      </c>
      <c r="BR14" s="5">
        <v>460.7934756789634</v>
      </c>
      <c r="BS14" s="5">
        <v>5919.618960491883</v>
      </c>
      <c r="BT14" s="5">
        <v>4816.276142055976</v>
      </c>
      <c r="BU14" s="5">
        <v>789.8128967859427</v>
      </c>
      <c r="BV14" s="5">
        <v>22.371828799991675</v>
      </c>
      <c r="BW14" s="5">
        <v>40.09913256269709</v>
      </c>
      <c r="BX14" s="5">
        <v>16.71118694192364</v>
      </c>
      <c r="BY14" s="5">
        <v>123.32444915024787</v>
      </c>
      <c r="BZ14" s="5">
        <v>251.05896028727497</v>
      </c>
      <c r="CA14" s="5">
        <v>30.504486540378863</v>
      </c>
      <c r="CB14" s="5">
        <v>50.72856058689603</v>
      </c>
      <c r="CC14" s="5">
        <v>53.68513231315868</v>
      </c>
      <c r="CD14" s="5">
        <v>116.14078084684137</v>
      </c>
      <c r="CE14" s="5">
        <v>5687.268627681163</v>
      </c>
      <c r="CF14" s="5">
        <v>5622.363359956034</v>
      </c>
      <c r="CG14" s="5">
        <v>54.54785870973874</v>
      </c>
      <c r="CH14" s="5">
        <v>10.357409015390296</v>
      </c>
      <c r="CI14" s="5">
        <v>161.53978437693317</v>
      </c>
      <c r="CJ14" s="5">
        <v>5448.246003468218</v>
      </c>
      <c r="CK14" s="5">
        <v>1383.5533297412462</v>
      </c>
      <c r="CL14" s="5">
        <v>246.63447158219125</v>
      </c>
      <c r="CM14" s="5">
        <v>4289.72530939821</v>
      </c>
      <c r="CN14" s="5">
        <v>622.3161661596561</v>
      </c>
      <c r="CO14" s="5">
        <v>1660.1783915097537</v>
      </c>
      <c r="CP14" s="5">
        <v>295.51856456940345</v>
      </c>
      <c r="CQ14" s="5">
        <v>223.7920821796798</v>
      </c>
      <c r="CR14" s="5">
        <v>60.96225977019378</v>
      </c>
      <c r="CS14" s="5">
        <v>20.016949152542374</v>
      </c>
      <c r="CT14" s="5">
        <v>4289.72530939821</v>
      </c>
      <c r="CU14" s="5">
        <v>1406.9408960569806</v>
      </c>
      <c r="CV14" s="5">
        <v>746.2060281723809</v>
      </c>
      <c r="CW14" s="5">
        <v>132.6256837830064</v>
      </c>
      <c r="CX14" s="5">
        <v>227.04946236969883</v>
      </c>
      <c r="CY14" s="5">
        <v>218.11495581808836</v>
      </c>
      <c r="CZ14" s="5">
        <v>82.94476591380615</v>
      </c>
      <c r="DA14" s="5">
        <v>223.7920821796798</v>
      </c>
      <c r="DB14" s="5">
        <v>80.45429970888591</v>
      </c>
      <c r="DC14" s="5">
        <v>36.88947947069106</v>
      </c>
      <c r="DD14" s="5">
        <v>34.582043343653254</v>
      </c>
      <c r="DE14" s="5">
        <v>2638.975382009007</v>
      </c>
      <c r="DF14" s="5">
        <v>189.60629454202387</v>
      </c>
      <c r="DG14" s="5">
        <v>559.8230657131107</v>
      </c>
      <c r="DH14" s="5">
        <v>435.69456373421536</v>
      </c>
      <c r="DI14" s="5">
        <v>997.1604269485513</v>
      </c>
      <c r="DJ14" s="5">
        <v>456.69103107110567</v>
      </c>
      <c r="DK14" s="5">
        <v>2638.975382009007</v>
      </c>
      <c r="DL14" s="5">
        <v>72.78998441345337</v>
      </c>
      <c r="DM14" s="5">
        <v>76.97964942564295</v>
      </c>
      <c r="DN14" s="5">
        <v>321.3582332785458</v>
      </c>
      <c r="DO14" s="5">
        <v>13</v>
      </c>
      <c r="DP14" s="5">
        <v>37.59171337880732</v>
      </c>
      <c r="DQ14" s="5">
        <v>278.82469252295516</v>
      </c>
      <c r="DR14" s="5">
        <v>393.2105927808291</v>
      </c>
      <c r="DS14" s="5">
        <v>125.05263483168181</v>
      </c>
      <c r="DT14" s="5">
        <v>122.30524001891987</v>
      </c>
      <c r="DU14" s="5">
        <v>89.66928124696923</v>
      </c>
      <c r="DV14" s="5">
        <v>33.49704865502993</v>
      </c>
      <c r="DW14" s="5">
        <v>31.316372734074854</v>
      </c>
      <c r="DX14" s="5">
        <v>83.53749561120338</v>
      </c>
      <c r="DY14" s="5">
        <v>124.00519851580847</v>
      </c>
      <c r="DZ14" s="5">
        <v>113.23798518524318</v>
      </c>
      <c r="EA14" s="5">
        <v>182.17556279797444</v>
      </c>
      <c r="EB14" s="5">
        <v>442.3096870133098</v>
      </c>
      <c r="EC14" s="5">
        <v>98.11400959855831</v>
      </c>
      <c r="ED14" s="5">
        <v>2638.975382009007</v>
      </c>
      <c r="EE14" s="5">
        <v>184.41170817381345</v>
      </c>
      <c r="EF14" s="5">
        <v>282.2612746684107</v>
      </c>
      <c r="EG14" s="5">
        <v>280.6384183499311</v>
      </c>
      <c r="EH14" s="5">
        <v>242.5439499875399</v>
      </c>
      <c r="EI14" s="5">
        <v>417.40908528473636</v>
      </c>
      <c r="EJ14" s="5">
        <v>345.9253827581997</v>
      </c>
      <c r="EK14" s="5">
        <v>224.04138824259763</v>
      </c>
      <c r="EL14" s="5">
        <v>337.1851486289355</v>
      </c>
      <c r="EM14" s="5">
        <v>324.5590259148426</v>
      </c>
      <c r="EN14" s="5">
        <v>4796.97258164454</v>
      </c>
      <c r="EO14" s="5">
        <v>1500.2934292638593</v>
      </c>
      <c r="EP14" s="5">
        <v>1410.5546401386734</v>
      </c>
      <c r="EQ14" s="5">
        <v>680.14018378906</v>
      </c>
      <c r="ER14" s="5">
        <v>376.962540354498</v>
      </c>
      <c r="ES14" s="5">
        <v>829.021788098449</v>
      </c>
      <c r="ET14" s="11">
        <v>2697.930266585383</v>
      </c>
      <c r="EU14" s="11">
        <v>2571.596286171739</v>
      </c>
      <c r="EV14" s="11">
        <v>126.33398041364401</v>
      </c>
      <c r="EW14" s="11">
        <v>62.115644430602146</v>
      </c>
      <c r="EX14" s="11">
        <v>64.21833598304187</v>
      </c>
      <c r="EY14" s="11">
        <v>2571.596286171739</v>
      </c>
      <c r="EZ14" s="11">
        <v>796.8672488014365</v>
      </c>
      <c r="FA14" s="11">
        <v>710.5832757169744</v>
      </c>
      <c r="FB14" s="11">
        <v>808.1819351940592</v>
      </c>
      <c r="FC14" s="11">
        <v>250.96382645926903</v>
      </c>
      <c r="FD14" s="11">
        <v>5</v>
      </c>
      <c r="FE14" s="11">
        <v>366.4392108132517</v>
      </c>
      <c r="FF14" s="11">
        <v>478.9379958935945</v>
      </c>
      <c r="FG14" s="11">
        <v>213.90925841183983</v>
      </c>
      <c r="FH14" s="11">
        <v>384.17787158053164</v>
      </c>
      <c r="FI14" s="11">
        <v>311.1429688060264</v>
      </c>
      <c r="FJ14" s="11">
        <v>139.88649127017175</v>
      </c>
      <c r="FK14" s="11">
        <v>112.17261968145101</v>
      </c>
      <c r="FL14" s="11">
        <v>141.79940488007333</v>
      </c>
      <c r="FM14" s="11">
        <v>15.549019607843137</v>
      </c>
      <c r="FN14" s="11">
        <v>199.96614230036312</v>
      </c>
      <c r="FO14" s="11">
        <v>97.78510028042734</v>
      </c>
      <c r="FP14" s="11">
        <v>42.929807205435544</v>
      </c>
      <c r="FQ14" s="11">
        <v>0</v>
      </c>
      <c r="FR14" s="11">
        <v>9.96078431372549</v>
      </c>
      <c r="FS14" s="11">
        <v>56.93961112700417</v>
      </c>
      <c r="FT14" s="11">
        <v>2571.596286171739</v>
      </c>
      <c r="FU14" s="11">
        <v>125.62141779788838</v>
      </c>
      <c r="FV14" s="11">
        <v>695.8383231918983</v>
      </c>
      <c r="FW14" s="11">
        <v>285.5228121046295</v>
      </c>
      <c r="FX14" s="11">
        <v>171.84289934367314</v>
      </c>
      <c r="FY14" s="11">
        <v>198.96614230036312</v>
      </c>
      <c r="FZ14" s="11">
        <v>83.15107202184385</v>
      </c>
      <c r="GA14" s="11">
        <v>37.815070278519286</v>
      </c>
      <c r="GB14" s="11">
        <v>78</v>
      </c>
      <c r="GC14" s="11">
        <v>187.84486549817385</v>
      </c>
      <c r="GD14" s="11">
        <v>178.59434531507785</v>
      </c>
      <c r="GE14" s="11">
        <v>218.54481882314408</v>
      </c>
      <c r="GF14" s="11">
        <v>725.293352503831</v>
      </c>
      <c r="GG14" s="11">
        <v>486.43598318043087</v>
      </c>
      <c r="GH14" s="11">
        <v>2.980392156862745</v>
      </c>
      <c r="GI14" s="11">
        <v>101.64102564102564</v>
      </c>
      <c r="GJ14" s="11">
        <v>90.23529411764706</v>
      </c>
      <c r="GK14" s="11">
        <v>19.411472051507168</v>
      </c>
      <c r="GL14" s="11">
        <v>24.589185356357525</v>
      </c>
      <c r="GM14" s="11">
        <v>3571.1569992562786</v>
      </c>
      <c r="GN14" s="11">
        <v>403.5676820363569</v>
      </c>
      <c r="GO14" s="11">
        <v>1.0169491525423728</v>
      </c>
      <c r="GP14" s="11">
        <v>85.12406504176715</v>
      </c>
      <c r="GQ14" s="11">
        <v>269.75003589147957</v>
      </c>
      <c r="GR14" s="11">
        <v>12.941176470588236</v>
      </c>
      <c r="GS14" s="11">
        <v>1579.231546901611</v>
      </c>
      <c r="GT14" s="11">
        <v>398.1647824766779</v>
      </c>
      <c r="GU14" s="11">
        <v>6.111892392996449</v>
      </c>
      <c r="GV14" s="11">
        <v>83.51538246346712</v>
      </c>
      <c r="GW14" s="11">
        <v>670.1358299301783</v>
      </c>
      <c r="GX14" s="11">
        <v>61.59765649861388</v>
      </c>
    </row>
    <row r="15" spans="1:206" ht="12.75">
      <c r="A15" s="5" t="s">
        <v>279</v>
      </c>
      <c r="B15" s="5">
        <v>4.120223</v>
      </c>
      <c r="C15" s="5">
        <v>12210.543859649122</v>
      </c>
      <c r="D15" s="5">
        <v>809</v>
      </c>
      <c r="E15" s="5">
        <v>1392.8947368421054</v>
      </c>
      <c r="F15" s="5">
        <v>2442.982456140351</v>
      </c>
      <c r="G15" s="5">
        <v>2523.157894736842</v>
      </c>
      <c r="H15" s="5">
        <v>2346.122807017544</v>
      </c>
      <c r="I15" s="5">
        <v>1659.3684210526317</v>
      </c>
      <c r="J15" s="5">
        <v>1037.017543859649</v>
      </c>
      <c r="K15" s="5">
        <v>2201.8947368421054</v>
      </c>
      <c r="L15" s="5">
        <v>7945.9473684210525</v>
      </c>
      <c r="M15" s="5">
        <v>2062.7017543859647</v>
      </c>
      <c r="N15" s="5">
        <v>5902.035087719298</v>
      </c>
      <c r="O15" s="5">
        <v>6308.508771929824</v>
      </c>
      <c r="P15" s="5">
        <v>12018.456140350878</v>
      </c>
      <c r="Q15" s="5">
        <v>192.08771929824562</v>
      </c>
      <c r="R15" s="5">
        <v>5889.105263157895</v>
      </c>
      <c r="S15" s="5">
        <v>2453.2982456140353</v>
      </c>
      <c r="T15" s="5">
        <v>1855.157894736842</v>
      </c>
      <c r="U15" s="5">
        <v>834.719298245614</v>
      </c>
      <c r="V15" s="5">
        <v>478.96491228070175</v>
      </c>
      <c r="W15" s="5">
        <v>190.96491228070175</v>
      </c>
      <c r="X15" s="5">
        <v>76</v>
      </c>
      <c r="Y15" s="5">
        <v>2643.1929824561403</v>
      </c>
      <c r="Z15" s="5">
        <v>1867.7894736842104</v>
      </c>
      <c r="AA15" s="5">
        <v>445</v>
      </c>
      <c r="AB15" s="5">
        <v>764.2982456140351</v>
      </c>
      <c r="AC15" s="5">
        <v>67.9298245614035</v>
      </c>
      <c r="AD15" s="5">
        <v>4077.4210526315787</v>
      </c>
      <c r="AE15" s="5">
        <v>2770.2631578947367</v>
      </c>
      <c r="AF15" s="5">
        <v>2350.122807017544</v>
      </c>
      <c r="AG15" s="5">
        <v>635.859649122807</v>
      </c>
      <c r="AH15" s="5">
        <v>132.859649122807</v>
      </c>
      <c r="AI15" s="5">
        <v>5686.105263157895</v>
      </c>
      <c r="AJ15" s="5">
        <v>3894.666666666667</v>
      </c>
      <c r="AK15" s="5">
        <v>1813.1929824561403</v>
      </c>
      <c r="AL15" s="5">
        <v>627.6842105263158</v>
      </c>
      <c r="AM15" s="5">
        <v>188.89473684210526</v>
      </c>
      <c r="AN15" s="5">
        <v>1365.017543859649</v>
      </c>
      <c r="AO15" s="5">
        <v>1452.4736842105262</v>
      </c>
      <c r="AP15" s="5">
        <v>9393.052631578947</v>
      </c>
      <c r="AQ15" s="5">
        <v>11255</v>
      </c>
      <c r="AR15" s="5">
        <v>495.64912280701753</v>
      </c>
      <c r="AS15" s="5">
        <v>99</v>
      </c>
      <c r="AT15" s="5">
        <v>88.9298245614035</v>
      </c>
      <c r="AU15" s="5">
        <v>271.96491228070175</v>
      </c>
      <c r="AV15" s="5">
        <v>12210.543859649122</v>
      </c>
      <c r="AW15" s="5">
        <v>9979.631578947368</v>
      </c>
      <c r="AX15" s="5">
        <v>878.4035087719299</v>
      </c>
      <c r="AY15" s="5">
        <v>90.9298245614035</v>
      </c>
      <c r="AZ15" s="5">
        <v>624.859649122807</v>
      </c>
      <c r="BA15" s="5">
        <v>347.859649122807</v>
      </c>
      <c r="BB15" s="5">
        <v>172.9298245614035</v>
      </c>
      <c r="BC15" s="5">
        <v>12210.543859649122</v>
      </c>
      <c r="BD15" s="5">
        <v>8201.473684210527</v>
      </c>
      <c r="BE15" s="5">
        <v>866.578947368421</v>
      </c>
      <c r="BF15" s="5">
        <v>1465.298245614035</v>
      </c>
      <c r="BG15" s="5">
        <v>296.859649122807</v>
      </c>
      <c r="BH15" s="5">
        <v>277.7543859649123</v>
      </c>
      <c r="BI15" s="5">
        <v>174.96491228070175</v>
      </c>
      <c r="BJ15" s="5">
        <v>892.6140350877192</v>
      </c>
      <c r="BK15" s="5">
        <v>35</v>
      </c>
      <c r="BL15" s="5">
        <v>12210.543859649122</v>
      </c>
      <c r="BM15" s="5">
        <v>3746.561403508772</v>
      </c>
      <c r="BN15" s="5">
        <v>1333.7543859649122</v>
      </c>
      <c r="BO15" s="5">
        <v>867.2631578947369</v>
      </c>
      <c r="BP15" s="5">
        <v>83</v>
      </c>
      <c r="BQ15" s="5">
        <v>5162.666666666666</v>
      </c>
      <c r="BR15" s="5">
        <v>896.2982456140351</v>
      </c>
      <c r="BS15" s="5">
        <v>12210.543859649122</v>
      </c>
      <c r="BT15" s="5">
        <v>9779.666666666668</v>
      </c>
      <c r="BU15" s="5">
        <v>1009.3684210526316</v>
      </c>
      <c r="BV15" s="5">
        <v>61</v>
      </c>
      <c r="BW15" s="5">
        <v>86.9298245614035</v>
      </c>
      <c r="BX15" s="5">
        <v>41.96491228070175</v>
      </c>
      <c r="BY15" s="5">
        <v>881.8245614035088</v>
      </c>
      <c r="BZ15" s="5">
        <v>1272.578947368421</v>
      </c>
      <c r="CA15" s="5">
        <v>166.96491228070175</v>
      </c>
      <c r="CB15" s="5">
        <v>505.859649122807</v>
      </c>
      <c r="CC15" s="5">
        <v>290.9298245614035</v>
      </c>
      <c r="CD15" s="5">
        <v>308.82456140350877</v>
      </c>
      <c r="CE15" s="5">
        <v>11717.543859649122</v>
      </c>
      <c r="CF15" s="5">
        <v>11382.57894736842</v>
      </c>
      <c r="CG15" s="5">
        <v>283.96491228070175</v>
      </c>
      <c r="CH15" s="5">
        <v>51</v>
      </c>
      <c r="CI15" s="5">
        <v>448.4736842105263</v>
      </c>
      <c r="CJ15" s="5">
        <v>11090.21052631579</v>
      </c>
      <c r="CK15" s="5">
        <v>2632.228070175439</v>
      </c>
      <c r="CL15" s="5">
        <v>1297.4736842105262</v>
      </c>
      <c r="CM15" s="5">
        <v>8971.631578947368</v>
      </c>
      <c r="CN15" s="5">
        <v>1373.578947368421</v>
      </c>
      <c r="CO15" s="5">
        <v>3589.035087719298</v>
      </c>
      <c r="CP15" s="5">
        <v>576.7543859649122</v>
      </c>
      <c r="CQ15" s="5">
        <v>564.8947368421052</v>
      </c>
      <c r="CR15" s="5">
        <v>161.9298245614035</v>
      </c>
      <c r="CS15" s="5">
        <v>26</v>
      </c>
      <c r="CT15" s="5">
        <v>8971.631578947368</v>
      </c>
      <c r="CU15" s="5">
        <v>2679.438596491228</v>
      </c>
      <c r="CV15" s="5">
        <v>1130.7894736842104</v>
      </c>
      <c r="CW15" s="5">
        <v>269.89473684210526</v>
      </c>
      <c r="CX15" s="5">
        <v>381.96491228070175</v>
      </c>
      <c r="CY15" s="5">
        <v>646.8245614035088</v>
      </c>
      <c r="CZ15" s="5">
        <v>249.96491228070175</v>
      </c>
      <c r="DA15" s="5">
        <v>564.8947368421052</v>
      </c>
      <c r="DB15" s="5">
        <v>175.89473684210526</v>
      </c>
      <c r="DC15" s="5">
        <v>100</v>
      </c>
      <c r="DD15" s="5">
        <v>49</v>
      </c>
      <c r="DE15" s="5">
        <v>5701.298245614035</v>
      </c>
      <c r="DF15" s="5">
        <v>364.89473684210526</v>
      </c>
      <c r="DG15" s="5">
        <v>1282.5438596491229</v>
      </c>
      <c r="DH15" s="5">
        <v>1181.3333333333335</v>
      </c>
      <c r="DI15" s="5">
        <v>2286.842105263158</v>
      </c>
      <c r="DJ15" s="5">
        <v>585.6842105263158</v>
      </c>
      <c r="DK15" s="5">
        <v>5701.298245614035</v>
      </c>
      <c r="DL15" s="5">
        <v>74.82456140350877</v>
      </c>
      <c r="DM15" s="5">
        <v>32</v>
      </c>
      <c r="DN15" s="5">
        <v>293.96491228070175</v>
      </c>
      <c r="DO15" s="5">
        <v>34.96491228070175</v>
      </c>
      <c r="DP15" s="5">
        <v>60</v>
      </c>
      <c r="DQ15" s="5">
        <v>531.8245614035088</v>
      </c>
      <c r="DR15" s="5">
        <v>1114.7543859649122</v>
      </c>
      <c r="DS15" s="5">
        <v>371.719298245614</v>
      </c>
      <c r="DT15" s="5">
        <v>678.7543859649122</v>
      </c>
      <c r="DU15" s="5">
        <v>182.89473684210526</v>
      </c>
      <c r="DV15" s="5">
        <v>63</v>
      </c>
      <c r="DW15" s="5">
        <v>42</v>
      </c>
      <c r="DX15" s="5">
        <v>150.96491228070175</v>
      </c>
      <c r="DY15" s="5">
        <v>287.96491228070175</v>
      </c>
      <c r="DZ15" s="5">
        <v>309.6140350877193</v>
      </c>
      <c r="EA15" s="5">
        <v>257.7894736842105</v>
      </c>
      <c r="EB15" s="5">
        <v>978.4736842105264</v>
      </c>
      <c r="EC15" s="5">
        <v>235.78947368421052</v>
      </c>
      <c r="ED15" s="5">
        <v>5701.298245614035</v>
      </c>
      <c r="EE15" s="5">
        <v>388.82456140350877</v>
      </c>
      <c r="EF15" s="5">
        <v>617.4035087719299</v>
      </c>
      <c r="EG15" s="5">
        <v>513.6140350877192</v>
      </c>
      <c r="EH15" s="5">
        <v>521.719298245614</v>
      </c>
      <c r="EI15" s="5">
        <v>771.7894736842105</v>
      </c>
      <c r="EJ15" s="5">
        <v>673.719298245614</v>
      </c>
      <c r="EK15" s="5">
        <v>673.7894736842105</v>
      </c>
      <c r="EL15" s="5">
        <v>495.7543859649123</v>
      </c>
      <c r="EM15" s="5">
        <v>1044.6842105263158</v>
      </c>
      <c r="EN15" s="5">
        <v>10008.649122807017</v>
      </c>
      <c r="EO15" s="5">
        <v>3417.0877192982457</v>
      </c>
      <c r="EP15" s="5">
        <v>2595.333333333333</v>
      </c>
      <c r="EQ15" s="5">
        <v>1212.4736842105262</v>
      </c>
      <c r="ER15" s="5">
        <v>879.6140350877192</v>
      </c>
      <c r="ES15" s="5">
        <v>1904.140350877193</v>
      </c>
      <c r="ET15" s="11">
        <v>6122</v>
      </c>
      <c r="EU15" s="11">
        <v>5889.105263157895</v>
      </c>
      <c r="EV15" s="11">
        <v>232.89473684210526</v>
      </c>
      <c r="EW15" s="11">
        <v>106.96491228070175</v>
      </c>
      <c r="EX15" s="11">
        <v>125.9298245614035</v>
      </c>
      <c r="EY15" s="11">
        <v>5883.105263157895</v>
      </c>
      <c r="EZ15" s="11">
        <v>515.719298245614</v>
      </c>
      <c r="FA15" s="11">
        <v>1523.6491228070176</v>
      </c>
      <c r="FB15" s="11">
        <v>1330.5438596491229</v>
      </c>
      <c r="FC15" s="11">
        <v>2507.1929824561403</v>
      </c>
      <c r="FD15" s="11">
        <v>6</v>
      </c>
      <c r="FE15" s="11">
        <v>933.7543859649123</v>
      </c>
      <c r="FF15" s="11">
        <v>1519.5438596491229</v>
      </c>
      <c r="FG15" s="11">
        <v>295.96491228070175</v>
      </c>
      <c r="FH15" s="11">
        <v>451.7543859649123</v>
      </c>
      <c r="FI15" s="11">
        <v>465.9298245614035</v>
      </c>
      <c r="FJ15" s="11">
        <v>220.9298245614035</v>
      </c>
      <c r="FK15" s="11">
        <v>344.6842105263158</v>
      </c>
      <c r="FL15" s="11">
        <v>310</v>
      </c>
      <c r="FM15" s="11">
        <v>32.92982456140351</v>
      </c>
      <c r="FN15" s="11">
        <v>602.859649122807</v>
      </c>
      <c r="FO15" s="11">
        <v>280.96491228070175</v>
      </c>
      <c r="FP15" s="11">
        <v>113</v>
      </c>
      <c r="FQ15" s="11">
        <v>0</v>
      </c>
      <c r="FR15" s="11">
        <v>17</v>
      </c>
      <c r="FS15" s="11">
        <v>299.7894736842105</v>
      </c>
      <c r="FT15" s="11">
        <v>5889.105263157895</v>
      </c>
      <c r="FU15" s="11">
        <v>330.9298245614035</v>
      </c>
      <c r="FV15" s="11">
        <v>1491.7894736842104</v>
      </c>
      <c r="FW15" s="11">
        <v>644</v>
      </c>
      <c r="FX15" s="11">
        <v>357.859649122807</v>
      </c>
      <c r="FY15" s="11">
        <v>600.859649122807</v>
      </c>
      <c r="FZ15" s="11">
        <v>227</v>
      </c>
      <c r="GA15" s="11">
        <v>109.9298245614035</v>
      </c>
      <c r="GB15" s="11">
        <v>263.9298245614035</v>
      </c>
      <c r="GC15" s="11">
        <v>401.9298245614035</v>
      </c>
      <c r="GD15" s="11">
        <v>531.8245614035088</v>
      </c>
      <c r="GE15" s="11">
        <v>435</v>
      </c>
      <c r="GF15" s="11">
        <v>1516.6491228070176</v>
      </c>
      <c r="GG15" s="11">
        <v>861.8245614035088</v>
      </c>
      <c r="GH15" s="11">
        <v>5</v>
      </c>
      <c r="GI15" s="11">
        <v>465.96491228070175</v>
      </c>
      <c r="GJ15" s="11">
        <v>106</v>
      </c>
      <c r="GK15" s="11">
        <v>47.89473684210526</v>
      </c>
      <c r="GL15" s="11">
        <v>29.964912280701753</v>
      </c>
      <c r="GM15" s="11">
        <v>7437.087719298246</v>
      </c>
      <c r="GN15" s="11">
        <v>856.719298245614</v>
      </c>
      <c r="GO15" s="11">
        <v>4</v>
      </c>
      <c r="GP15" s="11">
        <v>60.92982456140351</v>
      </c>
      <c r="GQ15" s="11">
        <v>544.9298245614035</v>
      </c>
      <c r="GR15" s="11">
        <v>48.96491228070175</v>
      </c>
      <c r="GS15" s="11">
        <v>2246.9122807017543</v>
      </c>
      <c r="GT15" s="11">
        <v>733.7894736842105</v>
      </c>
      <c r="GU15" s="11">
        <v>15</v>
      </c>
      <c r="GV15" s="11">
        <v>372.7894736842105</v>
      </c>
      <c r="GW15" s="11">
        <v>2499.157894736842</v>
      </c>
      <c r="GX15" s="11">
        <v>53.89473684210526</v>
      </c>
    </row>
    <row r="16" spans="1:206" ht="12.75">
      <c r="A16" s="5" t="s">
        <v>280</v>
      </c>
      <c r="B16" s="5">
        <v>507.865414</v>
      </c>
      <c r="C16" s="5">
        <v>16183.589201038103</v>
      </c>
      <c r="D16" s="5">
        <v>1009.7681024710764</v>
      </c>
      <c r="E16" s="5">
        <v>1993.8564008477108</v>
      </c>
      <c r="F16" s="5">
        <v>2651.3817760677957</v>
      </c>
      <c r="G16" s="5">
        <v>3419.141267295185</v>
      </c>
      <c r="H16" s="5">
        <v>3306.930218416725</v>
      </c>
      <c r="I16" s="5">
        <v>2517.410958509462</v>
      </c>
      <c r="J16" s="5">
        <v>1285.100477430149</v>
      </c>
      <c r="K16" s="5">
        <v>3003.6245033187874</v>
      </c>
      <c r="L16" s="5">
        <v>10410.294620378008</v>
      </c>
      <c r="M16" s="5">
        <v>2769.670077341308</v>
      </c>
      <c r="N16" s="5">
        <v>7843.891680158309</v>
      </c>
      <c r="O16" s="5">
        <v>8339.697520879796</v>
      </c>
      <c r="P16" s="5">
        <v>16092.35191290251</v>
      </c>
      <c r="Q16" s="5">
        <v>91.23728813559322</v>
      </c>
      <c r="R16" s="5">
        <v>7163.78185095275</v>
      </c>
      <c r="S16" s="5">
        <v>2216.176897928877</v>
      </c>
      <c r="T16" s="5">
        <v>2619.861835698759</v>
      </c>
      <c r="U16" s="5">
        <v>1118.337564572114</v>
      </c>
      <c r="V16" s="5">
        <v>865.3798892614622</v>
      </c>
      <c r="W16" s="5">
        <v>276.0577065652559</v>
      </c>
      <c r="X16" s="5">
        <v>67.96795692628164</v>
      </c>
      <c r="Y16" s="5">
        <v>5158.217743118163</v>
      </c>
      <c r="Z16" s="5">
        <v>553.657210031348</v>
      </c>
      <c r="AA16" s="5">
        <v>418.329219600726</v>
      </c>
      <c r="AB16" s="5">
        <v>825.5925240558169</v>
      </c>
      <c r="AC16" s="5">
        <v>110.06634732676802</v>
      </c>
      <c r="AD16" s="5">
        <v>8451.282852368051</v>
      </c>
      <c r="AE16" s="5">
        <v>1414.3061093571291</v>
      </c>
      <c r="AF16" s="5">
        <v>3567.6800902182813</v>
      </c>
      <c r="AG16" s="5">
        <v>1793.8337778862126</v>
      </c>
      <c r="AH16" s="5">
        <v>387.961873491127</v>
      </c>
      <c r="AI16" s="5">
        <v>9118.812315239174</v>
      </c>
      <c r="AJ16" s="5">
        <v>4858.699091279961</v>
      </c>
      <c r="AK16" s="5">
        <v>1655.8298569284668</v>
      </c>
      <c r="AL16" s="5">
        <v>435.94865529385214</v>
      </c>
      <c r="AM16" s="5">
        <v>114.29928229665072</v>
      </c>
      <c r="AN16" s="5">
        <v>1077.9299089178999</v>
      </c>
      <c r="AO16" s="5">
        <v>1534.6646817314047</v>
      </c>
      <c r="AP16" s="5">
        <v>13570.9946103888</v>
      </c>
      <c r="AQ16" s="5">
        <v>14821.898006993162</v>
      </c>
      <c r="AR16" s="5">
        <v>851.3503553829034</v>
      </c>
      <c r="AS16" s="5">
        <v>79.9513097072419</v>
      </c>
      <c r="AT16" s="5">
        <v>97.10481864092593</v>
      </c>
      <c r="AU16" s="5">
        <v>333.2847103138695</v>
      </c>
      <c r="AV16" s="5">
        <v>16183.589201038103</v>
      </c>
      <c r="AW16" s="5">
        <v>13594.197332362766</v>
      </c>
      <c r="AX16" s="5">
        <v>1602.0013179835375</v>
      </c>
      <c r="AY16" s="5">
        <v>100.76110676142599</v>
      </c>
      <c r="AZ16" s="5">
        <v>329.1379310344828</v>
      </c>
      <c r="BA16" s="5">
        <v>291.61155368340417</v>
      </c>
      <c r="BB16" s="5">
        <v>170.16555023923445</v>
      </c>
      <c r="BC16" s="5">
        <v>16183.589201038103</v>
      </c>
      <c r="BD16" s="5">
        <v>10231.256852158354</v>
      </c>
      <c r="BE16" s="5">
        <v>1414.5351742502403</v>
      </c>
      <c r="BF16" s="5">
        <v>2751.469396165462</v>
      </c>
      <c r="BG16" s="5">
        <v>350.3846172759954</v>
      </c>
      <c r="BH16" s="5">
        <v>437.4413707468559</v>
      </c>
      <c r="BI16" s="5">
        <v>361.23819016361944</v>
      </c>
      <c r="BJ16" s="5">
        <v>590.5012885540274</v>
      </c>
      <c r="BK16" s="5">
        <v>46.76231172354769</v>
      </c>
      <c r="BL16" s="5">
        <v>16183.589201038103</v>
      </c>
      <c r="BM16" s="5">
        <v>5803.803407293219</v>
      </c>
      <c r="BN16" s="5">
        <v>1322.2069574798854</v>
      </c>
      <c r="BO16" s="5">
        <v>1386.1092260028752</v>
      </c>
      <c r="BP16" s="5">
        <v>81.74545454545455</v>
      </c>
      <c r="BQ16" s="5">
        <v>6295.445984956731</v>
      </c>
      <c r="BR16" s="5">
        <v>1162.18726166903</v>
      </c>
      <c r="BS16" s="5">
        <v>16183.589201038103</v>
      </c>
      <c r="BT16" s="5">
        <v>13176.581181678173</v>
      </c>
      <c r="BU16" s="5">
        <v>1819.7000562722565</v>
      </c>
      <c r="BV16" s="5">
        <v>77.33067691583653</v>
      </c>
      <c r="BW16" s="5">
        <v>89.7769029958871</v>
      </c>
      <c r="BX16" s="5">
        <v>46.345454545454544</v>
      </c>
      <c r="BY16" s="5">
        <v>546.9201592970203</v>
      </c>
      <c r="BZ16" s="5">
        <v>1020.2003831759503</v>
      </c>
      <c r="CA16" s="5">
        <v>117.32384144139861</v>
      </c>
      <c r="CB16" s="5">
        <v>257.5028868493095</v>
      </c>
      <c r="CC16" s="5">
        <v>211.05418788762336</v>
      </c>
      <c r="CD16" s="5">
        <v>434.3194669976186</v>
      </c>
      <c r="CE16" s="5">
        <v>15578.908917775252</v>
      </c>
      <c r="CF16" s="5">
        <v>15390.918197810004</v>
      </c>
      <c r="CG16" s="5">
        <v>163.77253814706546</v>
      </c>
      <c r="CH16" s="5">
        <v>24.21818181818182</v>
      </c>
      <c r="CI16" s="5">
        <v>841.5913226337254</v>
      </c>
      <c r="CJ16" s="5">
        <v>14472.052299874673</v>
      </c>
      <c r="CK16" s="5">
        <v>3187.398318034609</v>
      </c>
      <c r="CL16" s="5">
        <v>1202.0503465272323</v>
      </c>
      <c r="CM16" s="5">
        <v>11894.864220289168</v>
      </c>
      <c r="CN16" s="5">
        <v>1870.5705084474207</v>
      </c>
      <c r="CO16" s="5">
        <v>5304.747438202594</v>
      </c>
      <c r="CP16" s="5">
        <v>959.6158790525623</v>
      </c>
      <c r="CQ16" s="5">
        <v>402.0246326283874</v>
      </c>
      <c r="CR16" s="5">
        <v>233.87402846003118</v>
      </c>
      <c r="CS16" s="5">
        <v>51.417956656346746</v>
      </c>
      <c r="CT16" s="5">
        <v>11894.864220289168</v>
      </c>
      <c r="CU16" s="5">
        <v>3072.613776841826</v>
      </c>
      <c r="CV16" s="5">
        <v>1761.7991620022292</v>
      </c>
      <c r="CW16" s="5">
        <v>379.0952515619664</v>
      </c>
      <c r="CX16" s="5">
        <v>375.81559305209487</v>
      </c>
      <c r="CY16" s="5">
        <v>378.66874339372447</v>
      </c>
      <c r="CZ16" s="5">
        <v>177.2350268318114</v>
      </c>
      <c r="DA16" s="5">
        <v>402.0246326283874</v>
      </c>
      <c r="DB16" s="5">
        <v>111</v>
      </c>
      <c r="DC16" s="5">
        <v>72.09814103066907</v>
      </c>
      <c r="DD16" s="5">
        <v>37</v>
      </c>
      <c r="DE16" s="5">
        <v>8368.807854162606</v>
      </c>
      <c r="DF16" s="5">
        <v>574.8237591610098</v>
      </c>
      <c r="DG16" s="5">
        <v>1734.5668217973412</v>
      </c>
      <c r="DH16" s="5">
        <v>1687.3985478121692</v>
      </c>
      <c r="DI16" s="5">
        <v>3299.001380719265</v>
      </c>
      <c r="DJ16" s="5">
        <v>1073.0173446728227</v>
      </c>
      <c r="DK16" s="5">
        <v>8368.807854162606</v>
      </c>
      <c r="DL16" s="5">
        <v>165.77829864395363</v>
      </c>
      <c r="DM16" s="5">
        <v>89.98522237038199</v>
      </c>
      <c r="DN16" s="5">
        <v>408.5435602288102</v>
      </c>
      <c r="DO16" s="5">
        <v>75.73916365657126</v>
      </c>
      <c r="DP16" s="5">
        <v>55.55159505808593</v>
      </c>
      <c r="DQ16" s="5">
        <v>736.5889778550727</v>
      </c>
      <c r="DR16" s="5">
        <v>1439.0246629018145</v>
      </c>
      <c r="DS16" s="5">
        <v>465.96257227665166</v>
      </c>
      <c r="DT16" s="5">
        <v>522.0945104063717</v>
      </c>
      <c r="DU16" s="5">
        <v>230.32865731394133</v>
      </c>
      <c r="DV16" s="5">
        <v>143.73185117967333</v>
      </c>
      <c r="DW16" s="5">
        <v>92.48692217358813</v>
      </c>
      <c r="DX16" s="5">
        <v>393.7470187058381</v>
      </c>
      <c r="DY16" s="5">
        <v>329.90297908155867</v>
      </c>
      <c r="DZ16" s="5">
        <v>660.8282862806119</v>
      </c>
      <c r="EA16" s="5">
        <v>603.8388553382051</v>
      </c>
      <c r="EB16" s="5">
        <v>1552.7594079774196</v>
      </c>
      <c r="EC16" s="5">
        <v>401.91531271405773</v>
      </c>
      <c r="ED16" s="5">
        <v>8368.807854162606</v>
      </c>
      <c r="EE16" s="5">
        <v>785.8133236274797</v>
      </c>
      <c r="EF16" s="5">
        <v>1427.6169965692623</v>
      </c>
      <c r="EG16" s="5">
        <v>1084.5016709626448</v>
      </c>
      <c r="EH16" s="5">
        <v>913.5307428611194</v>
      </c>
      <c r="EI16" s="5">
        <v>1077.043770744183</v>
      </c>
      <c r="EJ16" s="5">
        <v>851.9840752478109</v>
      </c>
      <c r="EK16" s="5">
        <v>740.9698969731596</v>
      </c>
      <c r="EL16" s="5">
        <v>622.490911191062</v>
      </c>
      <c r="EM16" s="5">
        <v>864.8564659858857</v>
      </c>
      <c r="EN16" s="5">
        <v>13179.964697719317</v>
      </c>
      <c r="EO16" s="5">
        <v>2761.091704691104</v>
      </c>
      <c r="EP16" s="5">
        <v>3154.809570077367</v>
      </c>
      <c r="EQ16" s="5">
        <v>1986.17728374876</v>
      </c>
      <c r="ER16" s="5">
        <v>1331.0926436059624</v>
      </c>
      <c r="ES16" s="5">
        <v>3946.7934955961227</v>
      </c>
      <c r="ET16" s="11">
        <v>7430.531108920473</v>
      </c>
      <c r="EU16" s="11">
        <v>7163.78185095275</v>
      </c>
      <c r="EV16" s="11">
        <v>266.7492579677236</v>
      </c>
      <c r="EW16" s="11">
        <v>98.08898305084746</v>
      </c>
      <c r="EX16" s="11">
        <v>168.66027491687618</v>
      </c>
      <c r="EY16" s="11">
        <v>7163.78185095275</v>
      </c>
      <c r="EZ16" s="11">
        <v>2545.457186421888</v>
      </c>
      <c r="FA16" s="11">
        <v>2010.3910913072086</v>
      </c>
      <c r="FB16" s="11">
        <v>1376.5334340732957</v>
      </c>
      <c r="FC16" s="11">
        <v>1215.5804670192106</v>
      </c>
      <c r="FD16" s="11">
        <v>15.819672131147541</v>
      </c>
      <c r="FE16" s="11">
        <v>855.3296514573168</v>
      </c>
      <c r="FF16" s="11">
        <v>1360.8472464715605</v>
      </c>
      <c r="FG16" s="11">
        <v>633.899339034619</v>
      </c>
      <c r="FH16" s="11">
        <v>958.3979781202427</v>
      </c>
      <c r="FI16" s="11">
        <v>1100.3621083582134</v>
      </c>
      <c r="FJ16" s="11">
        <v>402.38558326200666</v>
      </c>
      <c r="FK16" s="11">
        <v>403.18978865831906</v>
      </c>
      <c r="FL16" s="11">
        <v>294.7707569464893</v>
      </c>
      <c r="FM16" s="11">
        <v>32.29051852613187</v>
      </c>
      <c r="FN16" s="11">
        <v>494.52846889952156</v>
      </c>
      <c r="FO16" s="11">
        <v>235.22858196570164</v>
      </c>
      <c r="FP16" s="11">
        <v>104.92756397866157</v>
      </c>
      <c r="FQ16" s="11">
        <v>7</v>
      </c>
      <c r="FR16" s="11">
        <v>21.936363636363637</v>
      </c>
      <c r="FS16" s="11">
        <v>258.68790163760224</v>
      </c>
      <c r="FT16" s="11">
        <v>7163.78185095275</v>
      </c>
      <c r="FU16" s="11">
        <v>202.80755907833205</v>
      </c>
      <c r="FV16" s="11">
        <v>1994.5888981828857</v>
      </c>
      <c r="FW16" s="11">
        <v>810.2397534484</v>
      </c>
      <c r="FX16" s="11">
        <v>361.128997477209</v>
      </c>
      <c r="FY16" s="11">
        <v>493.52846889952156</v>
      </c>
      <c r="FZ16" s="11">
        <v>186.18636363636364</v>
      </c>
      <c r="GA16" s="11">
        <v>143.64473684210526</v>
      </c>
      <c r="GB16" s="11">
        <v>163.69736842105263</v>
      </c>
      <c r="GC16" s="11">
        <v>354.56235095822024</v>
      </c>
      <c r="GD16" s="11">
        <v>500.76730049909673</v>
      </c>
      <c r="GE16" s="11">
        <v>748.4348718463066</v>
      </c>
      <c r="GF16" s="11">
        <v>1854.0356045550425</v>
      </c>
      <c r="GG16" s="11">
        <v>1509.787431601539</v>
      </c>
      <c r="GH16" s="11">
        <v>6</v>
      </c>
      <c r="GI16" s="11">
        <v>154.0344827586207</v>
      </c>
      <c r="GJ16" s="11">
        <v>97.911004784689</v>
      </c>
      <c r="GK16" s="11">
        <v>57.23371989295272</v>
      </c>
      <c r="GL16" s="11">
        <v>29.06896551724138</v>
      </c>
      <c r="GM16" s="11">
        <v>10799.084626404298</v>
      </c>
      <c r="GN16" s="11">
        <v>1174.0692574341638</v>
      </c>
      <c r="GO16" s="11">
        <v>6</v>
      </c>
      <c r="GP16" s="11">
        <v>113.0344827586207</v>
      </c>
      <c r="GQ16" s="11">
        <v>815.6089099050715</v>
      </c>
      <c r="GR16" s="11">
        <v>56.47918660287081</v>
      </c>
      <c r="GS16" s="11">
        <v>4910.913327764009</v>
      </c>
      <c r="GT16" s="11">
        <v>1123.335641762372</v>
      </c>
      <c r="GU16" s="11">
        <v>37.94736842105263</v>
      </c>
      <c r="GV16" s="11">
        <v>549.5823786000925</v>
      </c>
      <c r="GW16" s="11">
        <v>1904.1350820917444</v>
      </c>
      <c r="GX16" s="11">
        <v>107.97899106430023</v>
      </c>
    </row>
    <row r="17" spans="1:206" ht="12.75">
      <c r="A17" s="5" t="s">
        <v>281</v>
      </c>
      <c r="B17" s="5">
        <v>324.285679</v>
      </c>
      <c r="C17" s="5">
        <v>821.75</v>
      </c>
      <c r="D17" s="5">
        <v>42.125</v>
      </c>
      <c r="E17" s="5">
        <v>91.375</v>
      </c>
      <c r="F17" s="5">
        <v>124.75</v>
      </c>
      <c r="G17" s="5">
        <v>134.125</v>
      </c>
      <c r="H17" s="5">
        <v>187.375</v>
      </c>
      <c r="I17" s="5">
        <v>153.25</v>
      </c>
      <c r="J17" s="5">
        <v>88.75</v>
      </c>
      <c r="K17" s="5">
        <v>133.5</v>
      </c>
      <c r="L17" s="5">
        <v>510</v>
      </c>
      <c r="M17" s="5">
        <v>178.25</v>
      </c>
      <c r="N17" s="5">
        <v>391.75</v>
      </c>
      <c r="O17" s="5">
        <v>430</v>
      </c>
      <c r="P17" s="5">
        <v>798.75</v>
      </c>
      <c r="Q17" s="5">
        <v>23</v>
      </c>
      <c r="R17" s="5">
        <v>368.5</v>
      </c>
      <c r="S17" s="5">
        <v>126.875</v>
      </c>
      <c r="T17" s="5">
        <v>137.875</v>
      </c>
      <c r="U17" s="5">
        <v>48.125</v>
      </c>
      <c r="V17" s="5">
        <v>37.375</v>
      </c>
      <c r="W17" s="5">
        <v>11.25</v>
      </c>
      <c r="X17" s="5">
        <v>7</v>
      </c>
      <c r="Y17" s="5">
        <v>232</v>
      </c>
      <c r="Z17" s="5">
        <v>54.25</v>
      </c>
      <c r="AA17" s="5">
        <v>16</v>
      </c>
      <c r="AB17" s="5">
        <v>42.25</v>
      </c>
      <c r="AC17" s="5">
        <v>16</v>
      </c>
      <c r="AD17" s="5">
        <v>455.625</v>
      </c>
      <c r="AE17" s="5">
        <v>59.875</v>
      </c>
      <c r="AF17" s="5">
        <v>195.25</v>
      </c>
      <c r="AG17" s="5">
        <v>87.75</v>
      </c>
      <c r="AH17" s="5">
        <v>25.625</v>
      </c>
      <c r="AI17" s="5">
        <v>458.125</v>
      </c>
      <c r="AJ17" s="5">
        <v>226.875</v>
      </c>
      <c r="AK17" s="5">
        <v>109</v>
      </c>
      <c r="AL17" s="5">
        <v>20.75</v>
      </c>
      <c r="AM17" s="5">
        <v>7</v>
      </c>
      <c r="AN17" s="5">
        <v>63.5</v>
      </c>
      <c r="AO17" s="5">
        <v>85.375</v>
      </c>
      <c r="AP17" s="5">
        <v>672.875</v>
      </c>
      <c r="AQ17" s="5">
        <v>768.5</v>
      </c>
      <c r="AR17" s="5">
        <v>25</v>
      </c>
      <c r="AS17" s="5">
        <v>2</v>
      </c>
      <c r="AT17" s="5">
        <v>4</v>
      </c>
      <c r="AU17" s="5">
        <v>22.25</v>
      </c>
      <c r="AV17" s="5">
        <v>821.75</v>
      </c>
      <c r="AW17" s="5">
        <v>562.875</v>
      </c>
      <c r="AX17" s="5">
        <v>211.5</v>
      </c>
      <c r="AY17" s="5">
        <v>2</v>
      </c>
      <c r="AZ17" s="5">
        <v>9</v>
      </c>
      <c r="BA17" s="5">
        <v>21</v>
      </c>
      <c r="BB17" s="5">
        <v>2.125</v>
      </c>
      <c r="BC17" s="5">
        <v>821.75</v>
      </c>
      <c r="BD17" s="5">
        <v>454.625</v>
      </c>
      <c r="BE17" s="5">
        <v>102.875</v>
      </c>
      <c r="BF17" s="5">
        <v>85.125</v>
      </c>
      <c r="BG17" s="5">
        <v>24.375</v>
      </c>
      <c r="BH17" s="5">
        <v>90.75</v>
      </c>
      <c r="BI17" s="5">
        <v>31.875</v>
      </c>
      <c r="BJ17" s="5">
        <v>30.125</v>
      </c>
      <c r="BK17" s="5">
        <v>2</v>
      </c>
      <c r="BL17" s="5">
        <v>821.75</v>
      </c>
      <c r="BM17" s="5">
        <v>315.75</v>
      </c>
      <c r="BN17" s="5">
        <v>106.125</v>
      </c>
      <c r="BO17" s="5">
        <v>66.75</v>
      </c>
      <c r="BP17" s="5">
        <v>1</v>
      </c>
      <c r="BQ17" s="5">
        <v>245.25</v>
      </c>
      <c r="BR17" s="5">
        <v>80.875</v>
      </c>
      <c r="BS17" s="5">
        <v>821.75</v>
      </c>
      <c r="BT17" s="5">
        <v>540.5</v>
      </c>
      <c r="BU17" s="5">
        <v>216</v>
      </c>
      <c r="BV17" s="5">
        <v>7.375</v>
      </c>
      <c r="BW17" s="5">
        <v>4</v>
      </c>
      <c r="BX17" s="5">
        <v>2</v>
      </c>
      <c r="BY17" s="5">
        <v>29.375</v>
      </c>
      <c r="BZ17" s="5">
        <v>52.875</v>
      </c>
      <c r="CA17" s="5">
        <v>7</v>
      </c>
      <c r="CB17" s="5">
        <v>10</v>
      </c>
      <c r="CC17" s="5">
        <v>12.25</v>
      </c>
      <c r="CD17" s="5">
        <v>23.625</v>
      </c>
      <c r="CE17" s="5">
        <v>792.75</v>
      </c>
      <c r="CF17" s="5">
        <v>785.75</v>
      </c>
      <c r="CG17" s="5">
        <v>7</v>
      </c>
      <c r="CH17" s="5">
        <v>0</v>
      </c>
      <c r="CI17" s="5">
        <v>21.125</v>
      </c>
      <c r="CJ17" s="5">
        <v>758</v>
      </c>
      <c r="CK17" s="5">
        <v>170.375</v>
      </c>
      <c r="CL17" s="5">
        <v>44.5</v>
      </c>
      <c r="CM17" s="5">
        <v>599.5</v>
      </c>
      <c r="CN17" s="5">
        <v>71.875</v>
      </c>
      <c r="CO17" s="5">
        <v>213.125</v>
      </c>
      <c r="CP17" s="5">
        <v>102.75</v>
      </c>
      <c r="CQ17" s="5">
        <v>27.375</v>
      </c>
      <c r="CR17" s="5">
        <v>12</v>
      </c>
      <c r="CS17" s="5">
        <v>2</v>
      </c>
      <c r="CT17" s="5">
        <v>599.5</v>
      </c>
      <c r="CU17" s="5">
        <v>170.375</v>
      </c>
      <c r="CV17" s="5">
        <v>104.375</v>
      </c>
      <c r="CW17" s="5">
        <v>14.25</v>
      </c>
      <c r="CX17" s="5">
        <v>31.5</v>
      </c>
      <c r="CY17" s="5">
        <v>11.25</v>
      </c>
      <c r="CZ17" s="5">
        <v>9</v>
      </c>
      <c r="DA17" s="5">
        <v>27.375</v>
      </c>
      <c r="DB17" s="5">
        <v>4</v>
      </c>
      <c r="DC17" s="5">
        <v>8.375</v>
      </c>
      <c r="DD17" s="5">
        <v>0</v>
      </c>
      <c r="DE17" s="5">
        <v>399.75</v>
      </c>
      <c r="DF17" s="5">
        <v>33</v>
      </c>
      <c r="DG17" s="5">
        <v>67.25</v>
      </c>
      <c r="DH17" s="5">
        <v>68.125</v>
      </c>
      <c r="DI17" s="5">
        <v>132.75</v>
      </c>
      <c r="DJ17" s="5">
        <v>98.625</v>
      </c>
      <c r="DK17" s="5">
        <v>399.75</v>
      </c>
      <c r="DL17" s="5">
        <v>22.125</v>
      </c>
      <c r="DM17" s="5">
        <v>2</v>
      </c>
      <c r="DN17" s="5">
        <v>8.125</v>
      </c>
      <c r="DO17" s="5">
        <v>19</v>
      </c>
      <c r="DP17" s="5">
        <v>3</v>
      </c>
      <c r="DQ17" s="5">
        <v>49.5</v>
      </c>
      <c r="DR17" s="5">
        <v>37.875</v>
      </c>
      <c r="DS17" s="5">
        <v>15</v>
      </c>
      <c r="DT17" s="5">
        <v>95.25</v>
      </c>
      <c r="DU17" s="5">
        <v>5.125</v>
      </c>
      <c r="DV17" s="5">
        <v>2</v>
      </c>
      <c r="DW17" s="5">
        <v>11</v>
      </c>
      <c r="DX17" s="5">
        <v>8.125</v>
      </c>
      <c r="DY17" s="5">
        <v>14.375</v>
      </c>
      <c r="DZ17" s="5">
        <v>22.25</v>
      </c>
      <c r="EA17" s="5">
        <v>32.5</v>
      </c>
      <c r="EB17" s="5">
        <v>37.5</v>
      </c>
      <c r="EC17" s="5">
        <v>15</v>
      </c>
      <c r="ED17" s="5">
        <v>399.75</v>
      </c>
      <c r="EE17" s="5">
        <v>61.625</v>
      </c>
      <c r="EF17" s="5">
        <v>39.625</v>
      </c>
      <c r="EG17" s="5">
        <v>34.5</v>
      </c>
      <c r="EH17" s="5">
        <v>25.25</v>
      </c>
      <c r="EI17" s="5">
        <v>93.25</v>
      </c>
      <c r="EJ17" s="5">
        <v>38.5</v>
      </c>
      <c r="EK17" s="5">
        <v>22.5</v>
      </c>
      <c r="EL17" s="5">
        <v>32.25</v>
      </c>
      <c r="EM17" s="5">
        <v>52.25</v>
      </c>
      <c r="EN17" s="5">
        <v>688.25</v>
      </c>
      <c r="EO17" s="5">
        <v>170.75</v>
      </c>
      <c r="EP17" s="5">
        <v>166.625</v>
      </c>
      <c r="EQ17" s="5">
        <v>100.5</v>
      </c>
      <c r="ER17" s="5">
        <v>62.375</v>
      </c>
      <c r="ES17" s="5">
        <v>188</v>
      </c>
      <c r="ET17" s="11">
        <v>508</v>
      </c>
      <c r="EU17" s="11">
        <v>368.5</v>
      </c>
      <c r="EV17" s="11">
        <v>139.5</v>
      </c>
      <c r="EW17" s="11">
        <v>122.5</v>
      </c>
      <c r="EX17" s="11">
        <v>17</v>
      </c>
      <c r="EY17" s="11">
        <v>367.5</v>
      </c>
      <c r="EZ17" s="11">
        <v>168.875</v>
      </c>
      <c r="FA17" s="11">
        <v>102.375</v>
      </c>
      <c r="FB17" s="11">
        <v>59</v>
      </c>
      <c r="FC17" s="11">
        <v>33</v>
      </c>
      <c r="FD17" s="11">
        <v>4.25</v>
      </c>
      <c r="FE17" s="11">
        <v>66.375</v>
      </c>
      <c r="FF17" s="11">
        <v>60.5</v>
      </c>
      <c r="FG17" s="11">
        <v>35.625</v>
      </c>
      <c r="FH17" s="11">
        <v>55</v>
      </c>
      <c r="FI17" s="11">
        <v>46.75</v>
      </c>
      <c r="FJ17" s="11">
        <v>14.875</v>
      </c>
      <c r="FK17" s="11">
        <v>25.125</v>
      </c>
      <c r="FL17" s="11">
        <v>21</v>
      </c>
      <c r="FM17" s="11">
        <v>4</v>
      </c>
      <c r="FN17" s="11">
        <v>13</v>
      </c>
      <c r="FO17" s="11">
        <v>10</v>
      </c>
      <c r="FP17" s="11">
        <v>2.125</v>
      </c>
      <c r="FQ17" s="11">
        <v>0</v>
      </c>
      <c r="FR17" s="11">
        <v>1</v>
      </c>
      <c r="FS17" s="11">
        <v>13.125</v>
      </c>
      <c r="FT17" s="11">
        <v>368.5</v>
      </c>
      <c r="FU17" s="11">
        <v>12.125</v>
      </c>
      <c r="FV17" s="11">
        <v>82.875</v>
      </c>
      <c r="FW17" s="11">
        <v>31.125</v>
      </c>
      <c r="FX17" s="11">
        <v>20</v>
      </c>
      <c r="FY17" s="11">
        <v>13</v>
      </c>
      <c r="FZ17" s="11">
        <v>3</v>
      </c>
      <c r="GA17" s="11">
        <v>2</v>
      </c>
      <c r="GB17" s="11">
        <v>8</v>
      </c>
      <c r="GC17" s="11">
        <v>30</v>
      </c>
      <c r="GD17" s="11">
        <v>36.375</v>
      </c>
      <c r="GE17" s="11">
        <v>44.375</v>
      </c>
      <c r="GF17" s="11">
        <v>118.625</v>
      </c>
      <c r="GG17" s="11">
        <v>88.375</v>
      </c>
      <c r="GH17" s="11">
        <v>0</v>
      </c>
      <c r="GI17" s="11">
        <v>18.25</v>
      </c>
      <c r="GJ17" s="11">
        <v>4</v>
      </c>
      <c r="GK17" s="11">
        <v>5</v>
      </c>
      <c r="GL17" s="11">
        <v>3</v>
      </c>
      <c r="GM17" s="11">
        <v>507.5</v>
      </c>
      <c r="GN17" s="11">
        <v>108.25</v>
      </c>
      <c r="GO17" s="11">
        <v>1</v>
      </c>
      <c r="GP17" s="11">
        <v>3.125</v>
      </c>
      <c r="GQ17" s="11">
        <v>32.625</v>
      </c>
      <c r="GR17" s="11">
        <v>0</v>
      </c>
      <c r="GS17" s="11">
        <v>193.5</v>
      </c>
      <c r="GT17" s="11">
        <v>31.5</v>
      </c>
      <c r="GU17" s="11">
        <v>1.125</v>
      </c>
      <c r="GV17" s="11">
        <v>5</v>
      </c>
      <c r="GW17" s="11">
        <v>125.25</v>
      </c>
      <c r="GX17" s="11">
        <v>6.125</v>
      </c>
    </row>
    <row r="18" spans="1:206" ht="12.75">
      <c r="A18" s="5" t="s">
        <v>282</v>
      </c>
      <c r="B18" s="5">
        <v>1657.565721</v>
      </c>
      <c r="C18" s="5">
        <v>7491.822494669509</v>
      </c>
      <c r="D18" s="5">
        <v>373.52597402597405</v>
      </c>
      <c r="E18" s="5">
        <v>940.6459100600891</v>
      </c>
      <c r="F18" s="5">
        <v>1226.5947858112038</v>
      </c>
      <c r="G18" s="5">
        <v>1435.7203430897462</v>
      </c>
      <c r="H18" s="5">
        <v>1667.3632002326033</v>
      </c>
      <c r="I18" s="5">
        <v>1290.0555824772243</v>
      </c>
      <c r="J18" s="5">
        <v>557.9166989726691</v>
      </c>
      <c r="K18" s="5">
        <v>1314.171884086063</v>
      </c>
      <c r="L18" s="5">
        <v>4882.820701686374</v>
      </c>
      <c r="M18" s="5">
        <v>1294.8299088970732</v>
      </c>
      <c r="N18" s="5">
        <v>3698.406619499903</v>
      </c>
      <c r="O18" s="5">
        <v>3793.4158751696064</v>
      </c>
      <c r="P18" s="5">
        <v>7185.703624733475</v>
      </c>
      <c r="Q18" s="5">
        <v>306.1188699360341</v>
      </c>
      <c r="R18" s="5">
        <v>3279.8941170769526</v>
      </c>
      <c r="S18" s="5">
        <v>1077.0725431285132</v>
      </c>
      <c r="T18" s="5">
        <v>1219.7238321380114</v>
      </c>
      <c r="U18" s="5">
        <v>464.6550688117852</v>
      </c>
      <c r="V18" s="5">
        <v>372.99515409963175</v>
      </c>
      <c r="W18" s="5">
        <v>112.44751889901144</v>
      </c>
      <c r="X18" s="5">
        <v>33</v>
      </c>
      <c r="Y18" s="5">
        <v>2000.0569393293276</v>
      </c>
      <c r="Z18" s="5">
        <v>323.3538961038961</v>
      </c>
      <c r="AA18" s="5">
        <v>316.7313432835821</v>
      </c>
      <c r="AB18" s="5">
        <v>440.0243748788525</v>
      </c>
      <c r="AC18" s="5">
        <v>135.4994669509595</v>
      </c>
      <c r="AD18" s="5">
        <v>4054.1713025780186</v>
      </c>
      <c r="AE18" s="5">
        <v>578.339842992828</v>
      </c>
      <c r="AF18" s="5">
        <v>1679.1761969373908</v>
      </c>
      <c r="AG18" s="5">
        <v>779.6913646055436</v>
      </c>
      <c r="AH18" s="5">
        <v>242.68671254119013</v>
      </c>
      <c r="AI18" s="5">
        <v>4256.846918007366</v>
      </c>
      <c r="AJ18" s="5">
        <v>2214.028251599147</v>
      </c>
      <c r="AK18" s="5">
        <v>748.976788137236</v>
      </c>
      <c r="AL18" s="5">
        <v>219.11392711765848</v>
      </c>
      <c r="AM18" s="5">
        <v>52.85660980810234</v>
      </c>
      <c r="AN18" s="5">
        <v>491.12071137817406</v>
      </c>
      <c r="AO18" s="5">
        <v>685.1626284163598</v>
      </c>
      <c r="AP18" s="5">
        <v>6315.539154874976</v>
      </c>
      <c r="AQ18" s="5">
        <v>6842.798895134715</v>
      </c>
      <c r="AR18" s="5">
        <v>404.83364024035666</v>
      </c>
      <c r="AS18" s="5">
        <v>53.91044776119403</v>
      </c>
      <c r="AT18" s="5">
        <v>44.82089552238806</v>
      </c>
      <c r="AU18" s="5">
        <v>145.45861601085483</v>
      </c>
      <c r="AV18" s="5">
        <v>7491.822494669509</v>
      </c>
      <c r="AW18" s="5">
        <v>5454.449748013181</v>
      </c>
      <c r="AX18" s="5">
        <v>1415.735801511921</v>
      </c>
      <c r="AY18" s="5">
        <v>55.501356852103115</v>
      </c>
      <c r="AZ18" s="5">
        <v>213.07142857142858</v>
      </c>
      <c r="BA18" s="5">
        <v>255.29007559604574</v>
      </c>
      <c r="BB18" s="5">
        <v>49.774084124830395</v>
      </c>
      <c r="BC18" s="5">
        <v>7491.822494669509</v>
      </c>
      <c r="BD18" s="5">
        <v>4234.337371583641</v>
      </c>
      <c r="BE18" s="5">
        <v>878.8672223299089</v>
      </c>
      <c r="BF18" s="5">
        <v>983.6897654584221</v>
      </c>
      <c r="BG18" s="5">
        <v>228.35796666020545</v>
      </c>
      <c r="BH18" s="5">
        <v>430.0771467338631</v>
      </c>
      <c r="BI18" s="5">
        <v>265.0776797829037</v>
      </c>
      <c r="BJ18" s="5">
        <v>442.41534212056604</v>
      </c>
      <c r="BK18" s="5">
        <v>29</v>
      </c>
      <c r="BL18" s="5">
        <v>7491.822494669509</v>
      </c>
      <c r="BM18" s="5">
        <v>2602.920381856949</v>
      </c>
      <c r="BN18" s="5">
        <v>697.8060186082574</v>
      </c>
      <c r="BO18" s="5">
        <v>557.8361116495444</v>
      </c>
      <c r="BP18" s="5">
        <v>10</v>
      </c>
      <c r="BQ18" s="5">
        <v>2971.555146346191</v>
      </c>
      <c r="BR18" s="5">
        <v>575.6691219228533</v>
      </c>
      <c r="BS18" s="5">
        <v>7491.822494669509</v>
      </c>
      <c r="BT18" s="5">
        <v>5197.403469664664</v>
      </c>
      <c r="BU18" s="5">
        <v>1528.0729308005427</v>
      </c>
      <c r="BV18" s="5">
        <v>46.67343477418104</v>
      </c>
      <c r="BW18" s="5">
        <v>45.91044776119403</v>
      </c>
      <c r="BX18" s="5">
        <v>32.72727272727273</v>
      </c>
      <c r="BY18" s="5">
        <v>423.7805776313239</v>
      </c>
      <c r="BZ18" s="5">
        <v>663.7622116689281</v>
      </c>
      <c r="CA18" s="5">
        <v>159.55223880597015</v>
      </c>
      <c r="CB18" s="5">
        <v>175.82089552238807</v>
      </c>
      <c r="CC18" s="5">
        <v>107.88122698197326</v>
      </c>
      <c r="CD18" s="5">
        <v>220.50785035859664</v>
      </c>
      <c r="CE18" s="5">
        <v>7266.367949214964</v>
      </c>
      <c r="CF18" s="5">
        <v>7176.55815080442</v>
      </c>
      <c r="CG18" s="5">
        <v>83.80979841054469</v>
      </c>
      <c r="CH18" s="5">
        <v>6</v>
      </c>
      <c r="CI18" s="5">
        <v>248.47213607288236</v>
      </c>
      <c r="CJ18" s="5">
        <v>6879.41960651289</v>
      </c>
      <c r="CK18" s="5">
        <v>1706.8989629773212</v>
      </c>
      <c r="CL18" s="5">
        <v>632.9635103702267</v>
      </c>
      <c r="CM18" s="5">
        <v>5619.733911610777</v>
      </c>
      <c r="CN18" s="5">
        <v>863.9410738515218</v>
      </c>
      <c r="CO18" s="5">
        <v>2395.3170188020936</v>
      </c>
      <c r="CP18" s="5">
        <v>726.7184047295988</v>
      </c>
      <c r="CQ18" s="5">
        <v>178.4515894553208</v>
      </c>
      <c r="CR18" s="5">
        <v>99.72538282612909</v>
      </c>
      <c r="CS18" s="5">
        <v>17</v>
      </c>
      <c r="CT18" s="5">
        <v>5619.733911610777</v>
      </c>
      <c r="CU18" s="5">
        <v>1338.5804419461135</v>
      </c>
      <c r="CV18" s="5">
        <v>817.5398333010274</v>
      </c>
      <c r="CW18" s="5">
        <v>132.3111552626478</v>
      </c>
      <c r="CX18" s="5">
        <v>153.4364217871681</v>
      </c>
      <c r="CY18" s="5">
        <v>161.22160302384182</v>
      </c>
      <c r="CZ18" s="5">
        <v>74.07142857142857</v>
      </c>
      <c r="DA18" s="5">
        <v>178.4515894553208</v>
      </c>
      <c r="DB18" s="5">
        <v>44.73134328358209</v>
      </c>
      <c r="DC18" s="5">
        <v>43.899350649350644</v>
      </c>
      <c r="DD18" s="5">
        <v>13</v>
      </c>
      <c r="DE18" s="5">
        <v>4085.701880209343</v>
      </c>
      <c r="DF18" s="5">
        <v>255.21646636945144</v>
      </c>
      <c r="DG18" s="5">
        <v>856.2248982360923</v>
      </c>
      <c r="DH18" s="5">
        <v>612.9884182981198</v>
      </c>
      <c r="DI18" s="5">
        <v>1686.027185501066</v>
      </c>
      <c r="DJ18" s="5">
        <v>675.2449118046134</v>
      </c>
      <c r="DK18" s="5">
        <v>4085.701880209343</v>
      </c>
      <c r="DL18" s="5">
        <v>106.46918007365768</v>
      </c>
      <c r="DM18" s="5">
        <v>36</v>
      </c>
      <c r="DN18" s="5">
        <v>133.87420042643924</v>
      </c>
      <c r="DO18" s="5">
        <v>15.353896103896105</v>
      </c>
      <c r="DP18" s="5">
        <v>29</v>
      </c>
      <c r="DQ18" s="5">
        <v>340.0203043225431</v>
      </c>
      <c r="DR18" s="5">
        <v>489.8447373522</v>
      </c>
      <c r="DS18" s="5">
        <v>137.94616204690834</v>
      </c>
      <c r="DT18" s="5">
        <v>891.6780868385347</v>
      </c>
      <c r="DU18" s="5">
        <v>67.50135685210313</v>
      </c>
      <c r="DV18" s="5">
        <v>62</v>
      </c>
      <c r="DW18" s="5">
        <v>110.59037604186858</v>
      </c>
      <c r="DX18" s="5">
        <v>122.75596045745299</v>
      </c>
      <c r="DY18" s="5">
        <v>158.76298701298703</v>
      </c>
      <c r="DZ18" s="5">
        <v>197.3620372165148</v>
      </c>
      <c r="EA18" s="5">
        <v>302.63045163791435</v>
      </c>
      <c r="EB18" s="5">
        <v>449.79143244814884</v>
      </c>
      <c r="EC18" s="5">
        <v>434.12071137817406</v>
      </c>
      <c r="ED18" s="5">
        <v>4085.701880209343</v>
      </c>
      <c r="EE18" s="5">
        <v>540.1799767396782</v>
      </c>
      <c r="EF18" s="5">
        <v>464.84473735220007</v>
      </c>
      <c r="EG18" s="5">
        <v>439.69107385152165</v>
      </c>
      <c r="EH18" s="5">
        <v>359.3509401046714</v>
      </c>
      <c r="EI18" s="5">
        <v>672.165342120566</v>
      </c>
      <c r="EJ18" s="5">
        <v>441.32171932545066</v>
      </c>
      <c r="EK18" s="5">
        <v>319.4112715642566</v>
      </c>
      <c r="EL18" s="5">
        <v>255.88122698197327</v>
      </c>
      <c r="EM18" s="5">
        <v>592.8555921690249</v>
      </c>
      <c r="EN18" s="5">
        <v>6177.650610583446</v>
      </c>
      <c r="EO18" s="5">
        <v>1349.4952025586354</v>
      </c>
      <c r="EP18" s="5">
        <v>1458.360195774375</v>
      </c>
      <c r="EQ18" s="5">
        <v>887.0054758674161</v>
      </c>
      <c r="ER18" s="5">
        <v>582.7083737158364</v>
      </c>
      <c r="ES18" s="5">
        <v>1900.0813626671836</v>
      </c>
      <c r="ET18" s="11">
        <v>3968.4253246753246</v>
      </c>
      <c r="EU18" s="11">
        <v>3279.8941170769526</v>
      </c>
      <c r="EV18" s="11">
        <v>688.5312075983718</v>
      </c>
      <c r="EW18" s="11">
        <v>605.2944369063772</v>
      </c>
      <c r="EX18" s="11">
        <v>83.23677069199456</v>
      </c>
      <c r="EY18" s="11">
        <v>3275.8941170769526</v>
      </c>
      <c r="EZ18" s="11">
        <v>1372.3526846288041</v>
      </c>
      <c r="FA18" s="11">
        <v>967.0763229308005</v>
      </c>
      <c r="FB18" s="11">
        <v>450.85660980810235</v>
      </c>
      <c r="FC18" s="11">
        <v>477.7987012987013</v>
      </c>
      <c r="FD18" s="11">
        <v>7.809798410544679</v>
      </c>
      <c r="FE18" s="11">
        <v>435.4873037410351</v>
      </c>
      <c r="FF18" s="11">
        <v>641.5852393874782</v>
      </c>
      <c r="FG18" s="11">
        <v>278.5944465981779</v>
      </c>
      <c r="FH18" s="11">
        <v>483.5181721263811</v>
      </c>
      <c r="FI18" s="11">
        <v>458.98405698778834</v>
      </c>
      <c r="FJ18" s="11">
        <v>144.31522581895717</v>
      </c>
      <c r="FK18" s="11">
        <v>210.7202461717387</v>
      </c>
      <c r="FL18" s="11">
        <v>140.3649932157395</v>
      </c>
      <c r="FM18" s="11">
        <v>21</v>
      </c>
      <c r="FN18" s="11">
        <v>190.4047780577631</v>
      </c>
      <c r="FO18" s="11">
        <v>95.86363636363637</v>
      </c>
      <c r="FP18" s="11">
        <v>49.85660980810234</v>
      </c>
      <c r="FQ18" s="11">
        <v>3.4545454545454546</v>
      </c>
      <c r="FR18" s="11">
        <v>7</v>
      </c>
      <c r="FS18" s="11">
        <v>118.74486334560963</v>
      </c>
      <c r="FT18" s="11">
        <v>3279.8941170769526</v>
      </c>
      <c r="FU18" s="11">
        <v>75.44751889901144</v>
      </c>
      <c r="FV18" s="11">
        <v>839.6104380693932</v>
      </c>
      <c r="FW18" s="11">
        <v>297.52597402597405</v>
      </c>
      <c r="FX18" s="11">
        <v>165.95997286295793</v>
      </c>
      <c r="FY18" s="11">
        <v>190.4047780577631</v>
      </c>
      <c r="FZ18" s="11">
        <v>75.03571428571429</v>
      </c>
      <c r="GA18" s="11">
        <v>61.59497964721846</v>
      </c>
      <c r="GB18" s="11">
        <v>53.774084124830395</v>
      </c>
      <c r="GC18" s="11">
        <v>181.85660980810235</v>
      </c>
      <c r="GD18" s="11">
        <v>253.63069393293273</v>
      </c>
      <c r="GE18" s="11">
        <v>288.2860050397364</v>
      </c>
      <c r="GF18" s="11">
        <v>894.5760806357822</v>
      </c>
      <c r="GG18" s="11">
        <v>630.074723783679</v>
      </c>
      <c r="GH18" s="11">
        <v>5</v>
      </c>
      <c r="GI18" s="11">
        <v>84</v>
      </c>
      <c r="GJ18" s="11">
        <v>85</v>
      </c>
      <c r="GK18" s="11">
        <v>59.501356852103115</v>
      </c>
      <c r="GL18" s="11">
        <v>31</v>
      </c>
      <c r="GM18" s="11">
        <v>5187.65894553208</v>
      </c>
      <c r="GN18" s="11">
        <v>1009.5683271951929</v>
      </c>
      <c r="GO18" s="11">
        <v>1</v>
      </c>
      <c r="GP18" s="11">
        <v>50.91044776119403</v>
      </c>
      <c r="GQ18" s="11">
        <v>426.98381469276995</v>
      </c>
      <c r="GR18" s="11">
        <v>18.863636363636363</v>
      </c>
      <c r="GS18" s="11">
        <v>1905.1056406280286</v>
      </c>
      <c r="GT18" s="11">
        <v>403.6217774762551</v>
      </c>
      <c r="GU18" s="11">
        <v>3</v>
      </c>
      <c r="GV18" s="11">
        <v>143.72727272727275</v>
      </c>
      <c r="GW18" s="11">
        <v>1169.9318666408217</v>
      </c>
      <c r="GX18" s="11">
        <v>54.94616204690831</v>
      </c>
    </row>
    <row r="19" spans="1:206" ht="12.75">
      <c r="A19" s="5" t="s">
        <v>283</v>
      </c>
      <c r="B19" s="5">
        <v>966.68013</v>
      </c>
      <c r="C19" s="5">
        <v>1051.8936263736264</v>
      </c>
      <c r="D19" s="5">
        <v>39.47868131868132</v>
      </c>
      <c r="E19" s="5">
        <v>135.42681318681318</v>
      </c>
      <c r="F19" s="5">
        <v>116.87208791208792</v>
      </c>
      <c r="G19" s="5">
        <v>165.96967032967035</v>
      </c>
      <c r="H19" s="5">
        <v>299.40043956043957</v>
      </c>
      <c r="I19" s="5">
        <v>216.28307692307692</v>
      </c>
      <c r="J19" s="5">
        <v>78.46285714285713</v>
      </c>
      <c r="K19" s="5">
        <v>174.90549450549452</v>
      </c>
      <c r="L19" s="5">
        <v>686.1063736263736</v>
      </c>
      <c r="M19" s="5">
        <v>190.88175824175823</v>
      </c>
      <c r="N19" s="5">
        <v>562.4848351648352</v>
      </c>
      <c r="O19" s="5">
        <v>489.40879120879123</v>
      </c>
      <c r="P19" s="5">
        <v>1034.5402197802198</v>
      </c>
      <c r="Q19" s="5">
        <v>17.353406593406593</v>
      </c>
      <c r="R19" s="5">
        <v>485.6395604395604</v>
      </c>
      <c r="S19" s="5">
        <v>188.5230769230769</v>
      </c>
      <c r="T19" s="5">
        <v>170.08703296703297</v>
      </c>
      <c r="U19" s="5">
        <v>49.31472527472528</v>
      </c>
      <c r="V19" s="5">
        <v>46.55472527472527</v>
      </c>
      <c r="W19" s="5">
        <v>20.28</v>
      </c>
      <c r="X19" s="5">
        <v>10.879999999999999</v>
      </c>
      <c r="Y19" s="5">
        <v>313.54329670329673</v>
      </c>
      <c r="Z19" s="5">
        <v>53.78813186813187</v>
      </c>
      <c r="AA19" s="5">
        <v>24.88</v>
      </c>
      <c r="AB19" s="5">
        <v>41.03472527472527</v>
      </c>
      <c r="AC19" s="5">
        <v>38.393406593406596</v>
      </c>
      <c r="AD19" s="5">
        <v>664.6676923076923</v>
      </c>
      <c r="AE19" s="5">
        <v>66.58945054945055</v>
      </c>
      <c r="AF19" s="5">
        <v>247.23252747252747</v>
      </c>
      <c r="AG19" s="5">
        <v>126.65758241758242</v>
      </c>
      <c r="AH19" s="5">
        <v>45.16</v>
      </c>
      <c r="AI19" s="5">
        <v>540.2553846153846</v>
      </c>
      <c r="AJ19" s="5">
        <v>333.138021978022</v>
      </c>
      <c r="AK19" s="5">
        <v>131.42813186813186</v>
      </c>
      <c r="AL19" s="5">
        <v>36.11604395604395</v>
      </c>
      <c r="AM19" s="5">
        <v>10.956043956043956</v>
      </c>
      <c r="AN19" s="5">
        <v>76.10681318681318</v>
      </c>
      <c r="AO19" s="5">
        <v>119.10945054945054</v>
      </c>
      <c r="AP19" s="5">
        <v>856.6773626373626</v>
      </c>
      <c r="AQ19" s="5">
        <v>941.632087912088</v>
      </c>
      <c r="AR19" s="5">
        <v>63.9054945054945</v>
      </c>
      <c r="AS19" s="5">
        <v>9.637362637362637</v>
      </c>
      <c r="AT19" s="5">
        <v>10.52</v>
      </c>
      <c r="AU19" s="5">
        <v>26.198681318681317</v>
      </c>
      <c r="AV19" s="5">
        <v>1051.8936263736264</v>
      </c>
      <c r="AW19" s="5">
        <v>776.6637362637363</v>
      </c>
      <c r="AX19" s="5">
        <v>237.99384615384616</v>
      </c>
      <c r="AY19" s="5">
        <v>6</v>
      </c>
      <c r="AZ19" s="5">
        <v>8</v>
      </c>
      <c r="BA19" s="5">
        <v>16.356043956043955</v>
      </c>
      <c r="BB19" s="5">
        <v>3.88</v>
      </c>
      <c r="BC19" s="5">
        <v>1051.8936263736264</v>
      </c>
      <c r="BD19" s="5">
        <v>612.4808791208791</v>
      </c>
      <c r="BE19" s="5">
        <v>130.22153846153844</v>
      </c>
      <c r="BF19" s="5">
        <v>136.86153846153846</v>
      </c>
      <c r="BG19" s="5">
        <v>20.672087912087914</v>
      </c>
      <c r="BH19" s="5">
        <v>77.03076923076922</v>
      </c>
      <c r="BI19" s="5">
        <v>44.63340659340659</v>
      </c>
      <c r="BJ19" s="5">
        <v>25.794725274725273</v>
      </c>
      <c r="BK19" s="5">
        <v>4.198681318681318</v>
      </c>
      <c r="BL19" s="5">
        <v>1051.8936263736264</v>
      </c>
      <c r="BM19" s="5">
        <v>453.1657142857143</v>
      </c>
      <c r="BN19" s="5">
        <v>35.47472527472527</v>
      </c>
      <c r="BO19" s="5">
        <v>124.62021978021978</v>
      </c>
      <c r="BP19" s="5">
        <v>0</v>
      </c>
      <c r="BQ19" s="5">
        <v>347.41934065934066</v>
      </c>
      <c r="BR19" s="5">
        <v>83.1789010989011</v>
      </c>
      <c r="BS19" s="5">
        <v>1051.8936263736264</v>
      </c>
      <c r="BT19" s="5">
        <v>740.6356043956043</v>
      </c>
      <c r="BU19" s="5">
        <v>255.19516483516486</v>
      </c>
      <c r="BV19" s="5">
        <v>7.517362637362637</v>
      </c>
      <c r="BW19" s="5">
        <v>2</v>
      </c>
      <c r="BX19" s="5">
        <v>4</v>
      </c>
      <c r="BY19" s="5">
        <v>21.31208791208791</v>
      </c>
      <c r="BZ19" s="5">
        <v>46.5454945054945</v>
      </c>
      <c r="CA19" s="5">
        <v>4.88</v>
      </c>
      <c r="CB19" s="5">
        <v>8.517362637362638</v>
      </c>
      <c r="CC19" s="5">
        <v>5.3973626373626375</v>
      </c>
      <c r="CD19" s="5">
        <v>27.75076923076923</v>
      </c>
      <c r="CE19" s="5">
        <v>1030.934945054945</v>
      </c>
      <c r="CF19" s="5">
        <v>1019.4175824175825</v>
      </c>
      <c r="CG19" s="5">
        <v>10.517362637362638</v>
      </c>
      <c r="CH19" s="5">
        <v>1</v>
      </c>
      <c r="CI19" s="5">
        <v>43.19208791208791</v>
      </c>
      <c r="CJ19" s="5">
        <v>943.8281318681319</v>
      </c>
      <c r="CK19" s="5">
        <v>170.05494505494505</v>
      </c>
      <c r="CL19" s="5">
        <v>42.864175824175824</v>
      </c>
      <c r="CM19" s="5">
        <v>798.5252747252747</v>
      </c>
      <c r="CN19" s="5">
        <v>114.06813186813187</v>
      </c>
      <c r="CO19" s="5">
        <v>291.69098901098903</v>
      </c>
      <c r="CP19" s="5">
        <v>131.16043956043956</v>
      </c>
      <c r="CQ19" s="5">
        <v>37.636043956043956</v>
      </c>
      <c r="CR19" s="5">
        <v>7</v>
      </c>
      <c r="CS19" s="5">
        <v>4.76</v>
      </c>
      <c r="CT19" s="5">
        <v>798.5252747252747</v>
      </c>
      <c r="CU19" s="5">
        <v>212.20967032967033</v>
      </c>
      <c r="CV19" s="5">
        <v>125.81362637362636</v>
      </c>
      <c r="CW19" s="5">
        <v>21.52</v>
      </c>
      <c r="CX19" s="5">
        <v>27.4</v>
      </c>
      <c r="CY19" s="5">
        <v>25.836043956043955</v>
      </c>
      <c r="CZ19" s="5">
        <v>11.64</v>
      </c>
      <c r="DA19" s="5">
        <v>37.636043956043956</v>
      </c>
      <c r="DB19" s="5">
        <v>9.07868131868132</v>
      </c>
      <c r="DC19" s="5">
        <v>11.157362637362636</v>
      </c>
      <c r="DD19" s="5">
        <v>3.76</v>
      </c>
      <c r="DE19" s="5">
        <v>543.9195604395604</v>
      </c>
      <c r="DF19" s="5">
        <v>46.23868131868132</v>
      </c>
      <c r="DG19" s="5">
        <v>96.86681318681318</v>
      </c>
      <c r="DH19" s="5">
        <v>79.82945054945054</v>
      </c>
      <c r="DI19" s="5">
        <v>195.13098901098903</v>
      </c>
      <c r="DJ19" s="5">
        <v>125.85362637362637</v>
      </c>
      <c r="DK19" s="5">
        <v>543.9195604395604</v>
      </c>
      <c r="DL19" s="5">
        <v>98.46945054945054</v>
      </c>
      <c r="DM19" s="5">
        <v>11.958681318681318</v>
      </c>
      <c r="DN19" s="5">
        <v>14.517362637362638</v>
      </c>
      <c r="DO19" s="5">
        <v>2</v>
      </c>
      <c r="DP19" s="5">
        <v>2.3186813186813184</v>
      </c>
      <c r="DQ19" s="5">
        <v>47.43076923076923</v>
      </c>
      <c r="DR19" s="5">
        <v>56.06945054945055</v>
      </c>
      <c r="DS19" s="5">
        <v>24.958681318681318</v>
      </c>
      <c r="DT19" s="5">
        <v>47.42021978021978</v>
      </c>
      <c r="DU19" s="5">
        <v>6.318681318681318</v>
      </c>
      <c r="DV19" s="5">
        <v>0</v>
      </c>
      <c r="DW19" s="5">
        <v>15.838681318681317</v>
      </c>
      <c r="DX19" s="5">
        <v>10.198681318681318</v>
      </c>
      <c r="DY19" s="5">
        <v>17.397362637362637</v>
      </c>
      <c r="DZ19" s="5">
        <v>24.52</v>
      </c>
      <c r="EA19" s="5">
        <v>76.95472527472526</v>
      </c>
      <c r="EB19" s="5">
        <v>54.51076923076923</v>
      </c>
      <c r="EC19" s="5">
        <v>33.037362637362634</v>
      </c>
      <c r="ED19" s="5">
        <v>543.9195604395604</v>
      </c>
      <c r="EE19" s="5">
        <v>71.98153846153846</v>
      </c>
      <c r="EF19" s="5">
        <v>82.47208791208791</v>
      </c>
      <c r="EG19" s="5">
        <v>47.11604395604395</v>
      </c>
      <c r="EH19" s="5">
        <v>44</v>
      </c>
      <c r="EI19" s="5">
        <v>134.41494505494506</v>
      </c>
      <c r="EJ19" s="5">
        <v>51.06945054945055</v>
      </c>
      <c r="EK19" s="5">
        <v>11.958681318681318</v>
      </c>
      <c r="EL19" s="5">
        <v>45.074725274725274</v>
      </c>
      <c r="EM19" s="5">
        <v>55.832087912087914</v>
      </c>
      <c r="EN19" s="5">
        <v>876.9881318681319</v>
      </c>
      <c r="EO19" s="5">
        <v>243.57230769230767</v>
      </c>
      <c r="EP19" s="5">
        <v>218.16703296703298</v>
      </c>
      <c r="EQ19" s="5">
        <v>112.37758241758243</v>
      </c>
      <c r="ER19" s="5">
        <v>60.22681318681318</v>
      </c>
      <c r="ES19" s="5">
        <v>242.6443956043956</v>
      </c>
      <c r="ET19" s="11">
        <v>647.9252747252748</v>
      </c>
      <c r="EU19" s="11">
        <v>485.6395604395604</v>
      </c>
      <c r="EV19" s="11">
        <v>162.28571428571428</v>
      </c>
      <c r="EW19" s="11">
        <v>146.08703296703297</v>
      </c>
      <c r="EX19" s="11">
        <v>16.198681318681317</v>
      </c>
      <c r="EY19" s="11">
        <v>485.6395604395604</v>
      </c>
      <c r="EZ19" s="11">
        <v>313.26461538461535</v>
      </c>
      <c r="FA19" s="11">
        <v>148.38153846153847</v>
      </c>
      <c r="FB19" s="11">
        <v>18.71868131868132</v>
      </c>
      <c r="FC19" s="11">
        <v>2.3186813186813184</v>
      </c>
      <c r="FD19" s="11">
        <v>2.956043956043956</v>
      </c>
      <c r="FE19" s="11">
        <v>75.9054945054945</v>
      </c>
      <c r="FF19" s="11">
        <v>112.61758241758243</v>
      </c>
      <c r="FG19" s="11">
        <v>32.58945054945055</v>
      </c>
      <c r="FH19" s="11">
        <v>94.66813186813187</v>
      </c>
      <c r="FI19" s="11">
        <v>64.39604395604395</v>
      </c>
      <c r="FJ19" s="11">
        <v>22.71868131868132</v>
      </c>
      <c r="FK19" s="11">
        <v>12.154725274725275</v>
      </c>
      <c r="FL19" s="11">
        <v>14.198681318681318</v>
      </c>
      <c r="FM19" s="11">
        <v>2</v>
      </c>
      <c r="FN19" s="11">
        <v>17.517362637362638</v>
      </c>
      <c r="FO19" s="11">
        <v>10.517362637362638</v>
      </c>
      <c r="FP19" s="11">
        <v>8.76</v>
      </c>
      <c r="FQ19" s="11">
        <v>0</v>
      </c>
      <c r="FR19" s="11">
        <v>3</v>
      </c>
      <c r="FS19" s="11">
        <v>14.596043956043957</v>
      </c>
      <c r="FT19" s="11">
        <v>485.6395604395604</v>
      </c>
      <c r="FU19" s="11">
        <v>9.318681318681318</v>
      </c>
      <c r="FV19" s="11">
        <v>104.87208791208792</v>
      </c>
      <c r="FW19" s="11">
        <v>30.59868131868132</v>
      </c>
      <c r="FX19" s="11">
        <v>29.838681318681317</v>
      </c>
      <c r="FY19" s="11">
        <v>17.517362637362638</v>
      </c>
      <c r="FZ19" s="11">
        <v>7.198681318681318</v>
      </c>
      <c r="GA19" s="11">
        <v>4</v>
      </c>
      <c r="GB19" s="11">
        <v>6.318681318681318</v>
      </c>
      <c r="GC19" s="11">
        <v>38.11076923076923</v>
      </c>
      <c r="GD19" s="11">
        <v>37.79472527472527</v>
      </c>
      <c r="GE19" s="11">
        <v>39.668131868131866</v>
      </c>
      <c r="GF19" s="11">
        <v>138.33362637362637</v>
      </c>
      <c r="GG19" s="11">
        <v>103.86021978021978</v>
      </c>
      <c r="GH19" s="11">
        <v>0</v>
      </c>
      <c r="GI19" s="11">
        <v>14.517362637362638</v>
      </c>
      <c r="GJ19" s="11">
        <v>5</v>
      </c>
      <c r="GK19" s="11">
        <v>10</v>
      </c>
      <c r="GL19" s="11">
        <v>4.956043956043956</v>
      </c>
      <c r="GM19" s="11">
        <v>705.6263736263736</v>
      </c>
      <c r="GN19" s="11">
        <v>196.68967032967032</v>
      </c>
      <c r="GO19" s="11">
        <v>0</v>
      </c>
      <c r="GP19" s="11">
        <v>7</v>
      </c>
      <c r="GQ19" s="11">
        <v>71.4654945054945</v>
      </c>
      <c r="GR19" s="11">
        <v>0.31868131868131866</v>
      </c>
      <c r="GS19" s="11">
        <v>260.56175824175824</v>
      </c>
      <c r="GT19" s="11">
        <v>76.67736263736263</v>
      </c>
      <c r="GU19" s="11">
        <v>1.3186813186813187</v>
      </c>
      <c r="GV19" s="11">
        <v>3.88</v>
      </c>
      <c r="GW19" s="11">
        <v>70.63604395604395</v>
      </c>
      <c r="GX19" s="11">
        <v>17.07868131868132</v>
      </c>
    </row>
    <row r="20" spans="1:206" ht="12.75">
      <c r="A20" s="5" t="s">
        <v>284</v>
      </c>
      <c r="B20" s="5">
        <v>674.852769</v>
      </c>
      <c r="C20" s="5">
        <v>2876.5949367088606</v>
      </c>
      <c r="D20" s="5">
        <v>145.73417721518987</v>
      </c>
      <c r="E20" s="5">
        <v>318.0253164556962</v>
      </c>
      <c r="F20" s="5">
        <v>346.55696202531647</v>
      </c>
      <c r="G20" s="5">
        <v>496.40506329113924</v>
      </c>
      <c r="H20" s="5">
        <v>711.2784810126582</v>
      </c>
      <c r="I20" s="5">
        <v>576.1012658227849</v>
      </c>
      <c r="J20" s="5">
        <v>282.49367088607596</v>
      </c>
      <c r="K20" s="5">
        <v>463.75949367088606</v>
      </c>
      <c r="L20" s="5">
        <v>1794.9367088607596</v>
      </c>
      <c r="M20" s="5">
        <v>617.8987341772151</v>
      </c>
      <c r="N20" s="5">
        <v>1375.0632911392404</v>
      </c>
      <c r="O20" s="5">
        <v>1501.5316455696202</v>
      </c>
      <c r="P20" s="5">
        <v>2791.5949367088606</v>
      </c>
      <c r="Q20" s="5">
        <v>85</v>
      </c>
      <c r="R20" s="5">
        <v>1305.7088607594937</v>
      </c>
      <c r="S20" s="5">
        <v>450.1392405063291</v>
      </c>
      <c r="T20" s="5">
        <v>505.72151898734177</v>
      </c>
      <c r="U20" s="5">
        <v>157.29113924050634</v>
      </c>
      <c r="V20" s="5">
        <v>131.64556962025318</v>
      </c>
      <c r="W20" s="5">
        <v>41.91139240506329</v>
      </c>
      <c r="X20" s="5">
        <v>19</v>
      </c>
      <c r="Y20" s="5">
        <v>839.9493670886076</v>
      </c>
      <c r="Z20" s="5">
        <v>232.8227848101266</v>
      </c>
      <c r="AA20" s="5">
        <v>60.822784810126585</v>
      </c>
      <c r="AB20" s="5">
        <v>98.64556962025317</v>
      </c>
      <c r="AC20" s="5">
        <v>44.734177215189874</v>
      </c>
      <c r="AD20" s="5">
        <v>1682.6962025316457</v>
      </c>
      <c r="AE20" s="5">
        <v>240.46835443037975</v>
      </c>
      <c r="AF20" s="5">
        <v>595.9873417721519</v>
      </c>
      <c r="AG20" s="5">
        <v>352.873417721519</v>
      </c>
      <c r="AH20" s="5">
        <v>116.37974683544304</v>
      </c>
      <c r="AI20" s="5">
        <v>1427.6835443037974</v>
      </c>
      <c r="AJ20" s="5">
        <v>894.3037974683544</v>
      </c>
      <c r="AK20" s="5">
        <v>411.9620253164557</v>
      </c>
      <c r="AL20" s="5">
        <v>108.64556962025317</v>
      </c>
      <c r="AM20" s="5">
        <v>34</v>
      </c>
      <c r="AN20" s="5">
        <v>270.9367088607595</v>
      </c>
      <c r="AO20" s="5">
        <v>358.75949367088606</v>
      </c>
      <c r="AP20" s="5">
        <v>2246.8987341772154</v>
      </c>
      <c r="AQ20" s="5">
        <v>2571.4556962025317</v>
      </c>
      <c r="AR20" s="5">
        <v>175.49367088607596</v>
      </c>
      <c r="AS20" s="5">
        <v>24.91139240506329</v>
      </c>
      <c r="AT20" s="5">
        <v>19</v>
      </c>
      <c r="AU20" s="5">
        <v>85.73417721518987</v>
      </c>
      <c r="AV20" s="5">
        <v>2876.5949367088606</v>
      </c>
      <c r="AW20" s="5">
        <v>2110.3164556962024</v>
      </c>
      <c r="AX20" s="5">
        <v>591.6075949367089</v>
      </c>
      <c r="AY20" s="5">
        <v>25.82278481012658</v>
      </c>
      <c r="AZ20" s="5">
        <v>19.82278481012658</v>
      </c>
      <c r="BA20" s="5">
        <v>85.64556962025317</v>
      </c>
      <c r="BB20" s="5">
        <v>31.468354430379748</v>
      </c>
      <c r="BC20" s="5">
        <v>2876.5949367088606</v>
      </c>
      <c r="BD20" s="5">
        <v>1577.5949367088608</v>
      </c>
      <c r="BE20" s="5">
        <v>386.0506329113924</v>
      </c>
      <c r="BF20" s="5">
        <v>437.43037974683546</v>
      </c>
      <c r="BG20" s="5">
        <v>70.46835443037975</v>
      </c>
      <c r="BH20" s="5">
        <v>160.1139240506329</v>
      </c>
      <c r="BI20" s="5">
        <v>127.64556962025317</v>
      </c>
      <c r="BJ20" s="5">
        <v>109.37974683544304</v>
      </c>
      <c r="BK20" s="5">
        <v>7.911392405063291</v>
      </c>
      <c r="BL20" s="5">
        <v>2876.5949367088606</v>
      </c>
      <c r="BM20" s="5">
        <v>930.3924050632911</v>
      </c>
      <c r="BN20" s="5">
        <v>326.3164556962025</v>
      </c>
      <c r="BO20" s="5">
        <v>320.40506329113924</v>
      </c>
      <c r="BP20" s="5">
        <v>21.379746835443036</v>
      </c>
      <c r="BQ20" s="5">
        <v>1007.8101265822785</v>
      </c>
      <c r="BR20" s="5">
        <v>249.29113924050634</v>
      </c>
      <c r="BS20" s="5">
        <v>2876.5949367088606</v>
      </c>
      <c r="BT20" s="5">
        <v>2049.5822784810125</v>
      </c>
      <c r="BU20" s="5">
        <v>610.1645569620254</v>
      </c>
      <c r="BV20" s="5">
        <v>17.91139240506329</v>
      </c>
      <c r="BW20" s="5">
        <v>15.822784810126581</v>
      </c>
      <c r="BX20" s="5">
        <v>14</v>
      </c>
      <c r="BY20" s="5">
        <v>74.73417721518987</v>
      </c>
      <c r="BZ20" s="5">
        <v>182.1139240506329</v>
      </c>
      <c r="CA20" s="5">
        <v>23.734177215189874</v>
      </c>
      <c r="CB20" s="5">
        <v>33.82278481012658</v>
      </c>
      <c r="CC20" s="5">
        <v>33.911392405063296</v>
      </c>
      <c r="CD20" s="5">
        <v>90.64556962025317</v>
      </c>
      <c r="CE20" s="5">
        <v>2788.772151898734</v>
      </c>
      <c r="CF20" s="5">
        <v>2765.0379746835442</v>
      </c>
      <c r="CG20" s="5">
        <v>21.734177215189874</v>
      </c>
      <c r="CH20" s="5">
        <v>2</v>
      </c>
      <c r="CI20" s="5">
        <v>130.1139240506329</v>
      </c>
      <c r="CJ20" s="5">
        <v>2571.1898734177216</v>
      </c>
      <c r="CK20" s="5">
        <v>502.0759493670886</v>
      </c>
      <c r="CL20" s="5">
        <v>140.84810126582278</v>
      </c>
      <c r="CM20" s="5">
        <v>2130.341772151899</v>
      </c>
      <c r="CN20" s="5">
        <v>322.0253164556962</v>
      </c>
      <c r="CO20" s="5">
        <v>785.4556962025316</v>
      </c>
      <c r="CP20" s="5">
        <v>292.40506329113924</v>
      </c>
      <c r="CQ20" s="5">
        <v>82</v>
      </c>
      <c r="CR20" s="5">
        <v>18</v>
      </c>
      <c r="CS20" s="5">
        <v>3</v>
      </c>
      <c r="CT20" s="5">
        <v>2130.341772151899</v>
      </c>
      <c r="CU20" s="5">
        <v>627.4556962025316</v>
      </c>
      <c r="CV20" s="5">
        <v>398.1645569620253</v>
      </c>
      <c r="CW20" s="5">
        <v>46.91139240506329</v>
      </c>
      <c r="CX20" s="5">
        <v>72.46835443037975</v>
      </c>
      <c r="CY20" s="5">
        <v>78</v>
      </c>
      <c r="CZ20" s="5">
        <v>31.911392405063292</v>
      </c>
      <c r="DA20" s="5">
        <v>82</v>
      </c>
      <c r="DB20" s="5">
        <v>25</v>
      </c>
      <c r="DC20" s="5">
        <v>21</v>
      </c>
      <c r="DD20" s="5">
        <v>9</v>
      </c>
      <c r="DE20" s="5">
        <v>1417.886075949367</v>
      </c>
      <c r="DF20" s="5">
        <v>93.64556962025317</v>
      </c>
      <c r="DG20" s="5">
        <v>306.8481012658228</v>
      </c>
      <c r="DH20" s="5">
        <v>212.0253164556962</v>
      </c>
      <c r="DI20" s="5">
        <v>549.7848101265822</v>
      </c>
      <c r="DJ20" s="5">
        <v>255.58227848101265</v>
      </c>
      <c r="DK20" s="5">
        <v>1417.886075949367</v>
      </c>
      <c r="DL20" s="5">
        <v>40.822784810126585</v>
      </c>
      <c r="DM20" s="5">
        <v>29.82278481012658</v>
      </c>
      <c r="DN20" s="5">
        <v>58.822784810126585</v>
      </c>
      <c r="DO20" s="5">
        <v>10</v>
      </c>
      <c r="DP20" s="5">
        <v>4.911392405063291</v>
      </c>
      <c r="DQ20" s="5">
        <v>154.1139240506329</v>
      </c>
      <c r="DR20" s="5">
        <v>156.2911392405063</v>
      </c>
      <c r="DS20" s="5">
        <v>66.46835443037975</v>
      </c>
      <c r="DT20" s="5">
        <v>275.0253164556962</v>
      </c>
      <c r="DU20" s="5">
        <v>18.911392405063292</v>
      </c>
      <c r="DV20" s="5">
        <v>13</v>
      </c>
      <c r="DW20" s="5">
        <v>14.734177215189874</v>
      </c>
      <c r="DX20" s="5">
        <v>43</v>
      </c>
      <c r="DY20" s="5">
        <v>47.822784810126585</v>
      </c>
      <c r="DZ20" s="5">
        <v>74.55696202531645</v>
      </c>
      <c r="EA20" s="5">
        <v>131.37974683544303</v>
      </c>
      <c r="EB20" s="5">
        <v>181.55696202531647</v>
      </c>
      <c r="EC20" s="5">
        <v>96.64556962025317</v>
      </c>
      <c r="ED20" s="5">
        <v>1417.886075949367</v>
      </c>
      <c r="EE20" s="5">
        <v>211.9367088607595</v>
      </c>
      <c r="EF20" s="5">
        <v>186.84810126582278</v>
      </c>
      <c r="EG20" s="5">
        <v>121.0253164556962</v>
      </c>
      <c r="EH20" s="5">
        <v>124.73417721518987</v>
      </c>
      <c r="EI20" s="5">
        <v>245.67088607594937</v>
      </c>
      <c r="EJ20" s="5">
        <v>146.55696202531647</v>
      </c>
      <c r="EK20" s="5">
        <v>77.82278481012659</v>
      </c>
      <c r="EL20" s="5">
        <v>120.55696202531645</v>
      </c>
      <c r="EM20" s="5">
        <v>182.73417721518987</v>
      </c>
      <c r="EN20" s="5">
        <v>2412.835443037975</v>
      </c>
      <c r="EO20" s="5">
        <v>605.7215189873418</v>
      </c>
      <c r="EP20" s="5">
        <v>544.0506329113924</v>
      </c>
      <c r="EQ20" s="5">
        <v>345.49367088607596</v>
      </c>
      <c r="ER20" s="5">
        <v>197.0253164556962</v>
      </c>
      <c r="ES20" s="5">
        <v>720.5443037974684</v>
      </c>
      <c r="ET20" s="11">
        <v>1505.8227848101267</v>
      </c>
      <c r="EU20" s="11">
        <v>1305.7088607594937</v>
      </c>
      <c r="EV20" s="11">
        <v>200.1139240506329</v>
      </c>
      <c r="EW20" s="11">
        <v>174.20253164556962</v>
      </c>
      <c r="EX20" s="11">
        <v>25.911392405063292</v>
      </c>
      <c r="EY20" s="11">
        <v>1305.7088607594937</v>
      </c>
      <c r="EZ20" s="11">
        <v>509.56962025316454</v>
      </c>
      <c r="FA20" s="11">
        <v>409.9367088607595</v>
      </c>
      <c r="FB20" s="11">
        <v>218.46835443037975</v>
      </c>
      <c r="FC20" s="11">
        <v>160.91139240506328</v>
      </c>
      <c r="FD20" s="11">
        <v>6.822784810126582</v>
      </c>
      <c r="FE20" s="11">
        <v>206.1139240506329</v>
      </c>
      <c r="FF20" s="11">
        <v>244.0253164556962</v>
      </c>
      <c r="FG20" s="11">
        <v>119.37974683544304</v>
      </c>
      <c r="FH20" s="11">
        <v>226.0506329113924</v>
      </c>
      <c r="FI20" s="11">
        <v>160.46835443037975</v>
      </c>
      <c r="FJ20" s="11">
        <v>58.822784810126585</v>
      </c>
      <c r="FK20" s="11">
        <v>66.46835443037975</v>
      </c>
      <c r="FL20" s="11">
        <v>49</v>
      </c>
      <c r="FM20" s="11">
        <v>6</v>
      </c>
      <c r="FN20" s="11">
        <v>56.822784810126585</v>
      </c>
      <c r="FO20" s="11">
        <v>44</v>
      </c>
      <c r="FP20" s="11">
        <v>22.911392405063292</v>
      </c>
      <c r="FQ20" s="11">
        <v>0</v>
      </c>
      <c r="FR20" s="11">
        <v>7</v>
      </c>
      <c r="FS20" s="11">
        <v>38.64556962025316</v>
      </c>
      <c r="FT20" s="11">
        <v>1305.7088607594937</v>
      </c>
      <c r="FU20" s="11">
        <v>25.911392405063292</v>
      </c>
      <c r="FV20" s="11">
        <v>289.2025316455696</v>
      </c>
      <c r="FW20" s="11">
        <v>111.82278481012658</v>
      </c>
      <c r="FX20" s="11">
        <v>68.73417721518987</v>
      </c>
      <c r="FY20" s="11">
        <v>56.822784810126585</v>
      </c>
      <c r="FZ20" s="11">
        <v>25.911392405063292</v>
      </c>
      <c r="GA20" s="11">
        <v>12</v>
      </c>
      <c r="GB20" s="11">
        <v>18.91139240506329</v>
      </c>
      <c r="GC20" s="11">
        <v>78.55696202531645</v>
      </c>
      <c r="GD20" s="11">
        <v>127.55696202531645</v>
      </c>
      <c r="GE20" s="11">
        <v>133.9367088607595</v>
      </c>
      <c r="GF20" s="11">
        <v>408.0506329113924</v>
      </c>
      <c r="GG20" s="11">
        <v>262.2278481012658</v>
      </c>
      <c r="GH20" s="11">
        <v>2</v>
      </c>
      <c r="GI20" s="11">
        <v>60</v>
      </c>
      <c r="GJ20" s="11">
        <v>29</v>
      </c>
      <c r="GK20" s="11">
        <v>40.91139240506329</v>
      </c>
      <c r="GL20" s="11">
        <v>13.91139240506329</v>
      </c>
      <c r="GM20" s="11">
        <v>1789.9113924050632</v>
      </c>
      <c r="GN20" s="11">
        <v>364.67088607594934</v>
      </c>
      <c r="GO20" s="11">
        <v>0</v>
      </c>
      <c r="GP20" s="11">
        <v>11.91139240506329</v>
      </c>
      <c r="GQ20" s="11">
        <v>143.46835443037975</v>
      </c>
      <c r="GR20" s="11">
        <v>8.734177215189874</v>
      </c>
      <c r="GS20" s="11">
        <v>790.0126582278481</v>
      </c>
      <c r="GT20" s="11">
        <v>124.73417721518987</v>
      </c>
      <c r="GU20" s="11">
        <v>1</v>
      </c>
      <c r="GV20" s="11">
        <v>25</v>
      </c>
      <c r="GW20" s="11">
        <v>295.46835443037975</v>
      </c>
      <c r="GX20" s="11">
        <v>24.911392405063292</v>
      </c>
    </row>
    <row r="21" spans="1:206" ht="12.75">
      <c r="A21" s="5" t="s">
        <v>285</v>
      </c>
      <c r="B21" s="5">
        <v>2041.369521</v>
      </c>
      <c r="C21" s="5">
        <v>13174.83363471971</v>
      </c>
      <c r="D21" s="5">
        <v>829.2908691669993</v>
      </c>
      <c r="E21" s="5">
        <v>1733.2599340081258</v>
      </c>
      <c r="F21" s="5">
        <v>1957.745449848524</v>
      </c>
      <c r="G21" s="5">
        <v>2600.7146027570984</v>
      </c>
      <c r="H21" s="5">
        <v>2877.4942462600693</v>
      </c>
      <c r="I21" s="5">
        <v>2186.6491979991074</v>
      </c>
      <c r="J21" s="5">
        <v>989.6793346797866</v>
      </c>
      <c r="K21" s="5">
        <v>2562.550803175125</v>
      </c>
      <c r="L21" s="5">
        <v>8368.668114886921</v>
      </c>
      <c r="M21" s="5">
        <v>2243.614716657664</v>
      </c>
      <c r="N21" s="5">
        <v>6416.249324816233</v>
      </c>
      <c r="O21" s="5">
        <v>6758.584309903478</v>
      </c>
      <c r="P21" s="5">
        <v>12936.762206148282</v>
      </c>
      <c r="Q21" s="5">
        <v>238.07142857142858</v>
      </c>
      <c r="R21" s="5">
        <v>5558.563866513234</v>
      </c>
      <c r="S21" s="5">
        <v>1615.4136351894037</v>
      </c>
      <c r="T21" s="5">
        <v>2004.220503276109</v>
      </c>
      <c r="U21" s="5">
        <v>904.3039442474342</v>
      </c>
      <c r="V21" s="5">
        <v>694.1331873370752</v>
      </c>
      <c r="W21" s="5">
        <v>261.49259646321127</v>
      </c>
      <c r="X21" s="5">
        <v>79</v>
      </c>
      <c r="Y21" s="5">
        <v>3438.1285549893146</v>
      </c>
      <c r="Z21" s="5">
        <v>894.8335231676099</v>
      </c>
      <c r="AA21" s="5">
        <v>572.4374192715061</v>
      </c>
      <c r="AB21" s="5">
        <v>399.29784410887487</v>
      </c>
      <c r="AC21" s="5">
        <v>134.09235339705504</v>
      </c>
      <c r="AD21" s="5">
        <v>6298.372443108428</v>
      </c>
      <c r="AE21" s="5">
        <v>1351.624409948099</v>
      </c>
      <c r="AF21" s="5">
        <v>2549.8554226063266</v>
      </c>
      <c r="AG21" s="5">
        <v>1348.6673986050116</v>
      </c>
      <c r="AH21" s="5">
        <v>308.4166353537963</v>
      </c>
      <c r="AI21" s="5">
        <v>7302.853561447595</v>
      </c>
      <c r="AJ21" s="5">
        <v>3754.3339576336866</v>
      </c>
      <c r="AK21" s="5">
        <v>1522.1339858152694</v>
      </c>
      <c r="AL21" s="5">
        <v>460.04784410887487</v>
      </c>
      <c r="AM21" s="5">
        <v>135.46428571428572</v>
      </c>
      <c r="AN21" s="5">
        <v>1080.84807778117</v>
      </c>
      <c r="AO21" s="5">
        <v>1302.6913412085203</v>
      </c>
      <c r="AP21" s="5">
        <v>10791.294215730022</v>
      </c>
      <c r="AQ21" s="5">
        <v>12083.97241140415</v>
      </c>
      <c r="AR21" s="5">
        <v>603.9432493365586</v>
      </c>
      <c r="AS21" s="5">
        <v>122.859015758202</v>
      </c>
      <c r="AT21" s="5">
        <v>87.25510204081633</v>
      </c>
      <c r="AU21" s="5">
        <v>276.8038561799864</v>
      </c>
      <c r="AV21" s="5">
        <v>13174.83363471971</v>
      </c>
      <c r="AW21" s="5">
        <v>10735.09124374721</v>
      </c>
      <c r="AX21" s="5">
        <v>1545.1702343768347</v>
      </c>
      <c r="AY21" s="5">
        <v>91.3516122214133</v>
      </c>
      <c r="AZ21" s="5">
        <v>226.10578661844482</v>
      </c>
      <c r="BA21" s="5">
        <v>392.3581409548859</v>
      </c>
      <c r="BB21" s="5">
        <v>98.66800920598389</v>
      </c>
      <c r="BC21" s="5">
        <v>13174.83363471971</v>
      </c>
      <c r="BD21" s="5">
        <v>8580.673616166834</v>
      </c>
      <c r="BE21" s="5">
        <v>1132.4117975153235</v>
      </c>
      <c r="BF21" s="5">
        <v>1739.181865151124</v>
      </c>
      <c r="BG21" s="5">
        <v>303.1703283154459</v>
      </c>
      <c r="BH21" s="5">
        <v>484.7937753927808</v>
      </c>
      <c r="BI21" s="5">
        <v>302.16519104765035</v>
      </c>
      <c r="BJ21" s="5">
        <v>598.8382494539818</v>
      </c>
      <c r="BK21" s="5">
        <v>33.598811676569355</v>
      </c>
      <c r="BL21" s="5">
        <v>13174.83363471971</v>
      </c>
      <c r="BM21" s="5">
        <v>4418.860377868063</v>
      </c>
      <c r="BN21" s="5">
        <v>2516.0068281627955</v>
      </c>
      <c r="BO21" s="5">
        <v>1036.509129658768</v>
      </c>
      <c r="BP21" s="5">
        <v>36.620253164556964</v>
      </c>
      <c r="BQ21" s="5">
        <v>4081.9491498555694</v>
      </c>
      <c r="BR21" s="5">
        <v>983.6736102956718</v>
      </c>
      <c r="BS21" s="5">
        <v>13174.83363471971</v>
      </c>
      <c r="BT21" s="5">
        <v>10462.390356027336</v>
      </c>
      <c r="BU21" s="5">
        <v>1693.0817324628356</v>
      </c>
      <c r="BV21" s="5">
        <v>67.58072262276602</v>
      </c>
      <c r="BW21" s="5">
        <v>75.18741927150607</v>
      </c>
      <c r="BX21" s="5">
        <v>52.0278293135436</v>
      </c>
      <c r="BY21" s="5">
        <v>537.4058969963129</v>
      </c>
      <c r="BZ21" s="5">
        <v>875.5934043352669</v>
      </c>
      <c r="CA21" s="5">
        <v>182.26582278481013</v>
      </c>
      <c r="CB21" s="5">
        <v>213.9272151898734</v>
      </c>
      <c r="CC21" s="5">
        <v>188.61782837415748</v>
      </c>
      <c r="CD21" s="5">
        <v>290.78253798642584</v>
      </c>
      <c r="CE21" s="5">
        <v>12700.60076090275</v>
      </c>
      <c r="CF21" s="5">
        <v>12484.234288767291</v>
      </c>
      <c r="CG21" s="5">
        <v>196.36647213545947</v>
      </c>
      <c r="CH21" s="5">
        <v>20</v>
      </c>
      <c r="CI21" s="5">
        <v>824.8856121274746</v>
      </c>
      <c r="CJ21" s="5">
        <v>11538.732204504357</v>
      </c>
      <c r="CK21" s="5">
        <v>2478.275163805453</v>
      </c>
      <c r="CL21" s="5">
        <v>1039.1579284187783</v>
      </c>
      <c r="CM21" s="5">
        <v>9622.603496864798</v>
      </c>
      <c r="CN21" s="5">
        <v>1692.397225288274</v>
      </c>
      <c r="CO21" s="5">
        <v>3887.53873793476</v>
      </c>
      <c r="CP21" s="5">
        <v>981.400595335948</v>
      </c>
      <c r="CQ21" s="5">
        <v>352.10064935064935</v>
      </c>
      <c r="CR21" s="5">
        <v>156.44016697588128</v>
      </c>
      <c r="CS21" s="5">
        <v>34.755102040816325</v>
      </c>
      <c r="CT21" s="5">
        <v>9622.603496864798</v>
      </c>
      <c r="CU21" s="5">
        <v>2517.97101993847</v>
      </c>
      <c r="CV21" s="5">
        <v>1426.2992649303683</v>
      </c>
      <c r="CW21" s="5">
        <v>246.60855193630962</v>
      </c>
      <c r="CX21" s="5">
        <v>348.0311817477279</v>
      </c>
      <c r="CY21" s="5">
        <v>372.2648423005566</v>
      </c>
      <c r="CZ21" s="5">
        <v>124.76717902350813</v>
      </c>
      <c r="DA21" s="5">
        <v>352.10064935064935</v>
      </c>
      <c r="DB21" s="5">
        <v>95</v>
      </c>
      <c r="DC21" s="5">
        <v>80.60064935064935</v>
      </c>
      <c r="DD21" s="5">
        <v>13</v>
      </c>
      <c r="DE21" s="5">
        <v>6717.7767255348635</v>
      </c>
      <c r="DF21" s="5">
        <v>481.06546934078574</v>
      </c>
      <c r="DG21" s="5">
        <v>1560.6959618139545</v>
      </c>
      <c r="DH21" s="5">
        <v>1136.8935147131351</v>
      </c>
      <c r="DI21" s="5">
        <v>2556.9958021183156</v>
      </c>
      <c r="DJ21" s="5">
        <v>982.125977548672</v>
      </c>
      <c r="DK21" s="5">
        <v>6717.7767255348635</v>
      </c>
      <c r="DL21" s="5">
        <v>369.5227624997064</v>
      </c>
      <c r="DM21" s="5">
        <v>66.17721518987341</v>
      </c>
      <c r="DN21" s="5">
        <v>490.3251743735469</v>
      </c>
      <c r="DO21" s="5">
        <v>40.15120593692022</v>
      </c>
      <c r="DP21" s="5">
        <v>71.35391371738568</v>
      </c>
      <c r="DQ21" s="5">
        <v>646.8981353185693</v>
      </c>
      <c r="DR21" s="5">
        <v>1015.9992132641318</v>
      </c>
      <c r="DS21" s="5">
        <v>412.2867476104366</v>
      </c>
      <c r="DT21" s="5">
        <v>962.8387837298327</v>
      </c>
      <c r="DU21" s="5">
        <v>68.00790258566026</v>
      </c>
      <c r="DV21" s="5">
        <v>54.51020408163265</v>
      </c>
      <c r="DW21" s="5">
        <v>109.75144430614593</v>
      </c>
      <c r="DX21" s="5">
        <v>159.83024118738402</v>
      </c>
      <c r="DY21" s="5">
        <v>215.1795342993354</v>
      </c>
      <c r="DZ21" s="5">
        <v>302.55899344778186</v>
      </c>
      <c r="EA21" s="5">
        <v>542.1452995467462</v>
      </c>
      <c r="EB21" s="5">
        <v>872.1364517038115</v>
      </c>
      <c r="EC21" s="5">
        <v>318.103502735962</v>
      </c>
      <c r="ED21" s="5">
        <v>6717.7767255348635</v>
      </c>
      <c r="EE21" s="5">
        <v>749.2599516216153</v>
      </c>
      <c r="EF21" s="5">
        <v>759.4728634837132</v>
      </c>
      <c r="EG21" s="5">
        <v>548.3462048801108</v>
      </c>
      <c r="EH21" s="5">
        <v>583.2732439350883</v>
      </c>
      <c r="EI21" s="5">
        <v>1104.633844907353</v>
      </c>
      <c r="EJ21" s="5">
        <v>651.4643737817336</v>
      </c>
      <c r="EK21" s="5">
        <v>598.9281428336583</v>
      </c>
      <c r="EL21" s="5">
        <v>712.2834832437002</v>
      </c>
      <c r="EM21" s="5">
        <v>1010.1146168478899</v>
      </c>
      <c r="EN21" s="5">
        <v>10612.282831544584</v>
      </c>
      <c r="EO21" s="5">
        <v>3183.1050116249035</v>
      </c>
      <c r="EP21" s="5">
        <v>2770.0917604095725</v>
      </c>
      <c r="EQ21" s="5">
        <v>1496.9149562011228</v>
      </c>
      <c r="ER21" s="5">
        <v>814.1820119302035</v>
      </c>
      <c r="ES21" s="5">
        <v>2347.989091378784</v>
      </c>
      <c r="ET21" s="11">
        <v>6011.425359902303</v>
      </c>
      <c r="EU21" s="11">
        <v>5558.563866513234</v>
      </c>
      <c r="EV21" s="11">
        <v>452.86149338907023</v>
      </c>
      <c r="EW21" s="11">
        <v>376.62631807613724</v>
      </c>
      <c r="EX21" s="11">
        <v>76.23517531293298</v>
      </c>
      <c r="EY21" s="11">
        <v>5558.563866513234</v>
      </c>
      <c r="EZ21" s="11">
        <v>1678.7290810455365</v>
      </c>
      <c r="FA21" s="11">
        <v>1476.5057772245839</v>
      </c>
      <c r="FB21" s="11">
        <v>1451.5061353655387</v>
      </c>
      <c r="FC21" s="11">
        <v>921.7899062962354</v>
      </c>
      <c r="FD21" s="11">
        <v>30.032966581339096</v>
      </c>
      <c r="FE21" s="11">
        <v>747.7520314224654</v>
      </c>
      <c r="FF21" s="11">
        <v>867.6616037669382</v>
      </c>
      <c r="FG21" s="11">
        <v>445.6035555764308</v>
      </c>
      <c r="FH21" s="11">
        <v>813.7624468659732</v>
      </c>
      <c r="FI21" s="11">
        <v>813.9161539184145</v>
      </c>
      <c r="FJ21" s="11">
        <v>301.6897383809681</v>
      </c>
      <c r="FK21" s="11">
        <v>246.14249900190225</v>
      </c>
      <c r="FL21" s="11">
        <v>286.57606679035246</v>
      </c>
      <c r="FM21" s="11">
        <v>31</v>
      </c>
      <c r="FN21" s="11">
        <v>389.92443225851906</v>
      </c>
      <c r="FO21" s="11">
        <v>221.64146567717995</v>
      </c>
      <c r="FP21" s="11">
        <v>120.80799535003874</v>
      </c>
      <c r="FQ21" s="11">
        <v>13.545454545454545</v>
      </c>
      <c r="FR21" s="11">
        <v>11.75</v>
      </c>
      <c r="FS21" s="11">
        <v>246.79042295859657</v>
      </c>
      <c r="FT21" s="11">
        <v>5558.563866513234</v>
      </c>
      <c r="FU21" s="11">
        <v>178.71198421831335</v>
      </c>
      <c r="FV21" s="11">
        <v>1611.2246483173244</v>
      </c>
      <c r="FW21" s="11">
        <v>666.9471595312464</v>
      </c>
      <c r="FX21" s="11">
        <v>349.71804912989364</v>
      </c>
      <c r="FY21" s="11">
        <v>389.92443225851906</v>
      </c>
      <c r="FZ21" s="11">
        <v>167.0630973908551</v>
      </c>
      <c r="GA21" s="11">
        <v>81.13636363636364</v>
      </c>
      <c r="GB21" s="11">
        <v>141.72497123130034</v>
      </c>
      <c r="GC21" s="11">
        <v>322.69303797468353</v>
      </c>
      <c r="GD21" s="11">
        <v>425.05899344778186</v>
      </c>
      <c r="GE21" s="11">
        <v>506.6203412320049</v>
      </c>
      <c r="GF21" s="11">
        <v>1508.8060461238583</v>
      </c>
      <c r="GG21" s="11">
        <v>1008.2044339024446</v>
      </c>
      <c r="GH21" s="11">
        <v>7.755102040816326</v>
      </c>
      <c r="GI21" s="11">
        <v>242.75510204081633</v>
      </c>
      <c r="GJ21" s="11">
        <v>151.50510204081633</v>
      </c>
      <c r="GK21" s="11">
        <v>44.49769850402762</v>
      </c>
      <c r="GL21" s="11">
        <v>54.08860759493671</v>
      </c>
      <c r="GM21" s="11">
        <v>8757.066807965995</v>
      </c>
      <c r="GN21" s="11">
        <v>1319.4144571522513</v>
      </c>
      <c r="GO21" s="11">
        <v>1</v>
      </c>
      <c r="GP21" s="11">
        <v>41.09370963575304</v>
      </c>
      <c r="GQ21" s="11">
        <v>1060.085448909138</v>
      </c>
      <c r="GR21" s="11">
        <v>57.657288461990085</v>
      </c>
      <c r="GS21" s="11">
        <v>3484.2716645921887</v>
      </c>
      <c r="GT21" s="11">
        <v>974.4026502430662</v>
      </c>
      <c r="GU21" s="11">
        <v>11.755102040816325</v>
      </c>
      <c r="GV21" s="11">
        <v>286.02272727272725</v>
      </c>
      <c r="GW21" s="11">
        <v>1458.5455602263921</v>
      </c>
      <c r="GX21" s="11">
        <v>62.8181994316714</v>
      </c>
    </row>
    <row r="22" spans="1:206" ht="12.75">
      <c r="A22" s="5" t="s">
        <v>286</v>
      </c>
      <c r="B22" s="5">
        <v>734.645172</v>
      </c>
      <c r="C22" s="5">
        <v>1857.6088516746413</v>
      </c>
      <c r="D22" s="5">
        <v>98.51913875598086</v>
      </c>
      <c r="E22" s="5">
        <v>248.50478468899522</v>
      </c>
      <c r="F22" s="5">
        <v>235.3421052631579</v>
      </c>
      <c r="G22" s="5">
        <v>375.1232057416268</v>
      </c>
      <c r="H22" s="5">
        <v>445.3744019138756</v>
      </c>
      <c r="I22" s="5">
        <v>327.16866028708137</v>
      </c>
      <c r="J22" s="5">
        <v>127.57655502392345</v>
      </c>
      <c r="K22" s="5">
        <v>347.02392344497605</v>
      </c>
      <c r="L22" s="5">
        <v>1199.4162679425838</v>
      </c>
      <c r="M22" s="5">
        <v>311.16866028708137</v>
      </c>
      <c r="N22" s="5">
        <v>884.8385167464114</v>
      </c>
      <c r="O22" s="5">
        <v>972.7703349282297</v>
      </c>
      <c r="P22" s="5">
        <v>1836.4043062200958</v>
      </c>
      <c r="Q22" s="5">
        <v>21.204545454545453</v>
      </c>
      <c r="R22" s="5">
        <v>820.9102870813397</v>
      </c>
      <c r="S22" s="5">
        <v>270.0011961722488</v>
      </c>
      <c r="T22" s="5">
        <v>283.2942583732057</v>
      </c>
      <c r="U22" s="5">
        <v>126.75478468899522</v>
      </c>
      <c r="V22" s="5">
        <v>97.75</v>
      </c>
      <c r="W22" s="5">
        <v>33.110047846889955</v>
      </c>
      <c r="X22" s="5">
        <v>10</v>
      </c>
      <c r="Y22" s="5">
        <v>524.2906698564593</v>
      </c>
      <c r="Z22" s="5">
        <v>71.13636363636364</v>
      </c>
      <c r="AA22" s="5">
        <v>81.58732057416267</v>
      </c>
      <c r="AB22" s="5">
        <v>91.20933014354067</v>
      </c>
      <c r="AC22" s="5">
        <v>26.534688995215312</v>
      </c>
      <c r="AD22" s="5">
        <v>975.3744019138755</v>
      </c>
      <c r="AE22" s="5">
        <v>165.26196172248802</v>
      </c>
      <c r="AF22" s="5">
        <v>398.3361244019139</v>
      </c>
      <c r="AG22" s="5">
        <v>208.8193779904306</v>
      </c>
      <c r="AH22" s="5">
        <v>48.49282296650718</v>
      </c>
      <c r="AI22" s="5">
        <v>1098.0657894736842</v>
      </c>
      <c r="AJ22" s="5">
        <v>510.11722488038276</v>
      </c>
      <c r="AK22" s="5">
        <v>181.93301435406698</v>
      </c>
      <c r="AL22" s="5">
        <v>51.38277511961722</v>
      </c>
      <c r="AM22" s="5">
        <v>16.11004784688995</v>
      </c>
      <c r="AN22" s="5">
        <v>116.67105263157895</v>
      </c>
      <c r="AO22" s="5">
        <v>172.85406698564594</v>
      </c>
      <c r="AP22" s="5">
        <v>1568.0837320574162</v>
      </c>
      <c r="AQ22" s="5">
        <v>1683.781100478469</v>
      </c>
      <c r="AR22" s="5">
        <v>111.4031100478469</v>
      </c>
      <c r="AS22" s="5">
        <v>15.041866028708135</v>
      </c>
      <c r="AT22" s="5">
        <v>15.136363636363637</v>
      </c>
      <c r="AU22" s="5">
        <v>32.24641148325359</v>
      </c>
      <c r="AV22" s="5">
        <v>1857.6088516746413</v>
      </c>
      <c r="AW22" s="5">
        <v>1440.688995215311</v>
      </c>
      <c r="AX22" s="5">
        <v>337.42703349282294</v>
      </c>
      <c r="AY22" s="5">
        <v>12.136363636363637</v>
      </c>
      <c r="AZ22" s="5">
        <v>4</v>
      </c>
      <c r="BA22" s="5">
        <v>43.38277511961722</v>
      </c>
      <c r="BB22" s="5">
        <v>9.973684210526315</v>
      </c>
      <c r="BC22" s="5">
        <v>1857.6088516746413</v>
      </c>
      <c r="BD22" s="5">
        <v>1146.005980861244</v>
      </c>
      <c r="BE22" s="5">
        <v>226.27392344497608</v>
      </c>
      <c r="BF22" s="5">
        <v>242.3421052631579</v>
      </c>
      <c r="BG22" s="5">
        <v>51.51913875598086</v>
      </c>
      <c r="BH22" s="5">
        <v>89.42942583732057</v>
      </c>
      <c r="BI22" s="5">
        <v>61.75</v>
      </c>
      <c r="BJ22" s="5">
        <v>38.288277511961724</v>
      </c>
      <c r="BK22" s="5">
        <v>2</v>
      </c>
      <c r="BL22" s="5">
        <v>1857.6088516746413</v>
      </c>
      <c r="BM22" s="5">
        <v>534.9114832535886</v>
      </c>
      <c r="BN22" s="5">
        <v>533.5358851674641</v>
      </c>
      <c r="BO22" s="5">
        <v>76.49401913875599</v>
      </c>
      <c r="BP22" s="5">
        <v>2</v>
      </c>
      <c r="BQ22" s="5">
        <v>594.372009569378</v>
      </c>
      <c r="BR22" s="5">
        <v>107.0909090909091</v>
      </c>
      <c r="BS22" s="5">
        <v>1857.6088516746413</v>
      </c>
      <c r="BT22" s="5">
        <v>1399.505980861244</v>
      </c>
      <c r="BU22" s="5">
        <v>349.2799043062201</v>
      </c>
      <c r="BV22" s="5">
        <v>9.136363636363637</v>
      </c>
      <c r="BW22" s="5">
        <v>10.136363636363637</v>
      </c>
      <c r="BX22" s="5">
        <v>4</v>
      </c>
      <c r="BY22" s="5">
        <v>27.382775119617225</v>
      </c>
      <c r="BZ22" s="5">
        <v>89.55023923444976</v>
      </c>
      <c r="CA22" s="5">
        <v>3</v>
      </c>
      <c r="CB22" s="5">
        <v>14.041866028708135</v>
      </c>
      <c r="CC22" s="5">
        <v>22.11004784688995</v>
      </c>
      <c r="CD22" s="5">
        <v>50.39832535885168</v>
      </c>
      <c r="CE22" s="5">
        <v>1800.3624401913876</v>
      </c>
      <c r="CF22" s="5">
        <v>1791.3624401913876</v>
      </c>
      <c r="CG22" s="5">
        <v>8</v>
      </c>
      <c r="CH22" s="5">
        <v>1</v>
      </c>
      <c r="CI22" s="5">
        <v>209.36842105263156</v>
      </c>
      <c r="CJ22" s="5">
        <v>1523.773923444976</v>
      </c>
      <c r="CK22" s="5">
        <v>293.98086124401914</v>
      </c>
      <c r="CL22" s="5">
        <v>165.7511961722488</v>
      </c>
      <c r="CM22" s="5">
        <v>1383.0083732057417</v>
      </c>
      <c r="CN22" s="5">
        <v>202.86483253588517</v>
      </c>
      <c r="CO22" s="5">
        <v>479.54784688995215</v>
      </c>
      <c r="CP22" s="5">
        <v>288.2368421052631</v>
      </c>
      <c r="CQ22" s="5">
        <v>60.24641148325359</v>
      </c>
      <c r="CR22" s="5">
        <v>17.11004784688995</v>
      </c>
      <c r="CS22" s="5">
        <v>3</v>
      </c>
      <c r="CT22" s="5">
        <v>1383.0083732057417</v>
      </c>
      <c r="CU22" s="5">
        <v>332.0023923444976</v>
      </c>
      <c r="CV22" s="5">
        <v>189.85406698564594</v>
      </c>
      <c r="CW22" s="5">
        <v>41.35645933014354</v>
      </c>
      <c r="CX22" s="5">
        <v>44.47727272727273</v>
      </c>
      <c r="CY22" s="5">
        <v>35.24641148325359</v>
      </c>
      <c r="CZ22" s="5">
        <v>21.06818181818182</v>
      </c>
      <c r="DA22" s="5">
        <v>60.24641148325359</v>
      </c>
      <c r="DB22" s="5">
        <v>19</v>
      </c>
      <c r="DC22" s="5">
        <v>16.11004784688995</v>
      </c>
      <c r="DD22" s="5">
        <v>6</v>
      </c>
      <c r="DE22" s="5">
        <v>987.7595693779904</v>
      </c>
      <c r="DF22" s="5">
        <v>61.19377990430622</v>
      </c>
      <c r="DG22" s="5">
        <v>229.31578947368422</v>
      </c>
      <c r="DH22" s="5">
        <v>134.38277511961724</v>
      </c>
      <c r="DI22" s="5">
        <v>337.38516746411483</v>
      </c>
      <c r="DJ22" s="5">
        <v>225.48205741626793</v>
      </c>
      <c r="DK22" s="5">
        <v>987.7595693779904</v>
      </c>
      <c r="DL22" s="5">
        <v>122.29306220095694</v>
      </c>
      <c r="DM22" s="5">
        <v>10</v>
      </c>
      <c r="DN22" s="5">
        <v>36.15191387559808</v>
      </c>
      <c r="DO22" s="5">
        <v>2.0681818181818183</v>
      </c>
      <c r="DP22" s="5">
        <v>4</v>
      </c>
      <c r="DQ22" s="5">
        <v>66.04186602870814</v>
      </c>
      <c r="DR22" s="5">
        <v>117.6555023923445</v>
      </c>
      <c r="DS22" s="5">
        <v>127.28827751196172</v>
      </c>
      <c r="DT22" s="5">
        <v>158.38755980861242</v>
      </c>
      <c r="DU22" s="5">
        <v>12</v>
      </c>
      <c r="DV22" s="5">
        <v>12</v>
      </c>
      <c r="DW22" s="5">
        <v>14.35645933014354</v>
      </c>
      <c r="DX22" s="5">
        <v>20.11004784688995</v>
      </c>
      <c r="DY22" s="5">
        <v>16.08373205741627</v>
      </c>
      <c r="DZ22" s="5">
        <v>32.34090909090909</v>
      </c>
      <c r="EA22" s="5">
        <v>86.92822966507177</v>
      </c>
      <c r="EB22" s="5">
        <v>95.42464114832535</v>
      </c>
      <c r="EC22" s="5">
        <v>54.62918660287082</v>
      </c>
      <c r="ED22" s="5">
        <v>987.7595693779904</v>
      </c>
      <c r="EE22" s="5">
        <v>136.30382775119617</v>
      </c>
      <c r="EF22" s="5">
        <v>102.2846889952153</v>
      </c>
      <c r="EG22" s="5">
        <v>101.38277511961722</v>
      </c>
      <c r="EH22" s="5">
        <v>75.35645933014354</v>
      </c>
      <c r="EI22" s="5">
        <v>231.84330143540672</v>
      </c>
      <c r="EJ22" s="5">
        <v>109.31459330143541</v>
      </c>
      <c r="EK22" s="5">
        <v>41.38277511961722</v>
      </c>
      <c r="EL22" s="5">
        <v>84.3409090909091</v>
      </c>
      <c r="EM22" s="5">
        <v>105.55023923444976</v>
      </c>
      <c r="EN22" s="5">
        <v>1510.5849282296651</v>
      </c>
      <c r="EO22" s="5">
        <v>382.27392344497605</v>
      </c>
      <c r="EP22" s="5">
        <v>361.61961722488036</v>
      </c>
      <c r="EQ22" s="5">
        <v>213.96411483253587</v>
      </c>
      <c r="ER22" s="5">
        <v>123.80741626794259</v>
      </c>
      <c r="ES22" s="5">
        <v>428.91985645933016</v>
      </c>
      <c r="ET22" s="11">
        <v>986.77990430622</v>
      </c>
      <c r="EU22" s="11">
        <v>820.9102870813397</v>
      </c>
      <c r="EV22" s="11">
        <v>165.8696172248804</v>
      </c>
      <c r="EW22" s="11">
        <v>127.83851674641149</v>
      </c>
      <c r="EX22" s="11">
        <v>38.0311004784689</v>
      </c>
      <c r="EY22" s="11">
        <v>819.9102870813397</v>
      </c>
      <c r="EZ22" s="11">
        <v>374.311004784689</v>
      </c>
      <c r="FA22" s="11">
        <v>255.35287081339715</v>
      </c>
      <c r="FB22" s="11">
        <v>104.11004784688996</v>
      </c>
      <c r="FC22" s="11">
        <v>81.13636363636364</v>
      </c>
      <c r="FD22" s="11">
        <v>5</v>
      </c>
      <c r="FE22" s="11">
        <v>97.39832535885168</v>
      </c>
      <c r="FF22" s="11">
        <v>172.60287081339715</v>
      </c>
      <c r="FG22" s="11">
        <v>62.15191387559808</v>
      </c>
      <c r="FH22" s="11">
        <v>110.77033492822966</v>
      </c>
      <c r="FI22" s="11">
        <v>131.41387559808612</v>
      </c>
      <c r="FJ22" s="11">
        <v>50.40909090909091</v>
      </c>
      <c r="FK22" s="11">
        <v>47.19377990430622</v>
      </c>
      <c r="FL22" s="11">
        <v>27.40909090909091</v>
      </c>
      <c r="FM22" s="11">
        <v>6</v>
      </c>
      <c r="FN22" s="11">
        <v>50.24641148325359</v>
      </c>
      <c r="FO22" s="11">
        <v>31.06818181818182</v>
      </c>
      <c r="FP22" s="11">
        <v>8</v>
      </c>
      <c r="FQ22" s="11">
        <v>0</v>
      </c>
      <c r="FR22" s="11">
        <v>2.0418660287081343</v>
      </c>
      <c r="FS22" s="11">
        <v>24.204545454545453</v>
      </c>
      <c r="FT22" s="11">
        <v>820.9102870813397</v>
      </c>
      <c r="FU22" s="11">
        <v>19.204545454545453</v>
      </c>
      <c r="FV22" s="11">
        <v>217.0693779904306</v>
      </c>
      <c r="FW22" s="11">
        <v>78.38277511961722</v>
      </c>
      <c r="FX22" s="11">
        <v>43.288277511961724</v>
      </c>
      <c r="FY22" s="11">
        <v>50.24641148325359</v>
      </c>
      <c r="FZ22" s="11">
        <v>22.11004784688995</v>
      </c>
      <c r="GA22" s="11">
        <v>16</v>
      </c>
      <c r="GB22" s="11">
        <v>12.136363636363637</v>
      </c>
      <c r="GC22" s="11">
        <v>51.24641148325359</v>
      </c>
      <c r="GD22" s="11">
        <v>46.15191387559808</v>
      </c>
      <c r="GE22" s="11">
        <v>74.42464114832535</v>
      </c>
      <c r="GF22" s="11">
        <v>214.86483253588517</v>
      </c>
      <c r="GG22" s="11">
        <v>163.8755980861244</v>
      </c>
      <c r="GH22" s="11">
        <v>0</v>
      </c>
      <c r="GI22" s="11">
        <v>25</v>
      </c>
      <c r="GJ22" s="11">
        <v>9.068181818181818</v>
      </c>
      <c r="GK22" s="11">
        <v>11.973684210526315</v>
      </c>
      <c r="GL22" s="11">
        <v>4.947368421052632</v>
      </c>
      <c r="GM22" s="11">
        <v>1282.620813397129</v>
      </c>
      <c r="GN22" s="11">
        <v>364.73444976076553</v>
      </c>
      <c r="GO22" s="11">
        <v>1</v>
      </c>
      <c r="GP22" s="11">
        <v>24.151913875598087</v>
      </c>
      <c r="GQ22" s="11">
        <v>126.98564593301435</v>
      </c>
      <c r="GR22" s="11">
        <v>5.136363636363637</v>
      </c>
      <c r="GS22" s="11">
        <v>420.505980861244</v>
      </c>
      <c r="GT22" s="11">
        <v>89.6555023923445</v>
      </c>
      <c r="GU22" s="11">
        <v>1</v>
      </c>
      <c r="GV22" s="11">
        <v>13.068181818181818</v>
      </c>
      <c r="GW22" s="11">
        <v>215.24641148325358</v>
      </c>
      <c r="GX22" s="11">
        <v>21.136363636363637</v>
      </c>
    </row>
    <row r="23" spans="1:206" ht="12.75">
      <c r="A23" s="5" t="s">
        <v>287</v>
      </c>
      <c r="B23" s="5">
        <v>495.976091</v>
      </c>
      <c r="C23" s="5">
        <v>16693.751760092695</v>
      </c>
      <c r="D23" s="5">
        <v>1113.7463529290185</v>
      </c>
      <c r="E23" s="5">
        <v>2109.6947573399916</v>
      </c>
      <c r="F23" s="5">
        <v>3139.6202568838744</v>
      </c>
      <c r="G23" s="5">
        <v>3790.4613684573096</v>
      </c>
      <c r="H23" s="5">
        <v>3248.1679541538256</v>
      </c>
      <c r="I23" s="5">
        <v>2077.50006432202</v>
      </c>
      <c r="J23" s="5">
        <v>1214.561006006652</v>
      </c>
      <c r="K23" s="5">
        <v>3223.4411102690096</v>
      </c>
      <c r="L23" s="5">
        <v>11033.821041596804</v>
      </c>
      <c r="M23" s="5">
        <v>2436.4896082268774</v>
      </c>
      <c r="N23" s="5">
        <v>8188.425938965324</v>
      </c>
      <c r="O23" s="5">
        <v>8505.325821127368</v>
      </c>
      <c r="P23" s="5">
        <v>16082.53474283219</v>
      </c>
      <c r="Q23" s="5">
        <v>611.2170172605032</v>
      </c>
      <c r="R23" s="5">
        <v>7087.410172360132</v>
      </c>
      <c r="S23" s="5">
        <v>2269.886745242381</v>
      </c>
      <c r="T23" s="5">
        <v>2395.150797229905</v>
      </c>
      <c r="U23" s="5">
        <v>1120.2660865451028</v>
      </c>
      <c r="V23" s="5">
        <v>954.5800494514062</v>
      </c>
      <c r="W23" s="5">
        <v>271.473343888258</v>
      </c>
      <c r="X23" s="5">
        <v>76.05315000307814</v>
      </c>
      <c r="Y23" s="5">
        <v>4693.988714606256</v>
      </c>
      <c r="Z23" s="5">
        <v>513.3820056549266</v>
      </c>
      <c r="AA23" s="5">
        <v>284.7035815603771</v>
      </c>
      <c r="AB23" s="5">
        <v>1204.0943455996162</v>
      </c>
      <c r="AC23" s="5">
        <v>124.0880312329222</v>
      </c>
      <c r="AD23" s="5">
        <v>8004.2193153034805</v>
      </c>
      <c r="AE23" s="5">
        <v>1672.7658080422066</v>
      </c>
      <c r="AF23" s="5">
        <v>3366.664739205612</v>
      </c>
      <c r="AG23" s="5">
        <v>1647.0282963540901</v>
      </c>
      <c r="AH23" s="5">
        <v>400.9513287582225</v>
      </c>
      <c r="AI23" s="5">
        <v>9742.327163992424</v>
      </c>
      <c r="AJ23" s="5">
        <v>4847.3118329066465</v>
      </c>
      <c r="AK23" s="5">
        <v>1553.2163349523298</v>
      </c>
      <c r="AL23" s="5">
        <v>436.20755492736544</v>
      </c>
      <c r="AM23" s="5">
        <v>114.68887331392443</v>
      </c>
      <c r="AN23" s="5">
        <v>1120.5658403554935</v>
      </c>
      <c r="AO23" s="5">
        <v>1437.1741354908202</v>
      </c>
      <c r="AP23" s="5">
        <v>14136.011784246379</v>
      </c>
      <c r="AQ23" s="5">
        <v>15425.871175246182</v>
      </c>
      <c r="AR23" s="5">
        <v>786.0203612569595</v>
      </c>
      <c r="AS23" s="5">
        <v>97.74068486534968</v>
      </c>
      <c r="AT23" s="5">
        <v>117.75105540810664</v>
      </c>
      <c r="AU23" s="5">
        <v>266.3684833160962</v>
      </c>
      <c r="AV23" s="5">
        <v>16693.751760092695</v>
      </c>
      <c r="AW23" s="5">
        <v>13454.407787542315</v>
      </c>
      <c r="AX23" s="5">
        <v>1620.3576017156001</v>
      </c>
      <c r="AY23" s="5">
        <v>129.58836556871873</v>
      </c>
      <c r="AZ23" s="5">
        <v>547.078740134559</v>
      </c>
      <c r="BA23" s="5">
        <v>448.93806497392814</v>
      </c>
      <c r="BB23" s="5">
        <v>313.09560913082373</v>
      </c>
      <c r="BC23" s="5">
        <v>16693.751760092695</v>
      </c>
      <c r="BD23" s="5">
        <v>9877.017869002339</v>
      </c>
      <c r="BE23" s="5">
        <v>1499.4603712906846</v>
      </c>
      <c r="BF23" s="5">
        <v>2986.349256058234</v>
      </c>
      <c r="BG23" s="5">
        <v>419.46552884653875</v>
      </c>
      <c r="BH23" s="5">
        <v>415.74773289167706</v>
      </c>
      <c r="BI23" s="5">
        <v>391.47339517706456</v>
      </c>
      <c r="BJ23" s="5">
        <v>1030.6715603407456</v>
      </c>
      <c r="BK23" s="5">
        <v>73.56604648540753</v>
      </c>
      <c r="BL23" s="5">
        <v>16693.751760092695</v>
      </c>
      <c r="BM23" s="5">
        <v>5718.987223629302</v>
      </c>
      <c r="BN23" s="5">
        <v>1520.465359400974</v>
      </c>
      <c r="BO23" s="5">
        <v>1416.9674577434698</v>
      </c>
      <c r="BP23" s="5">
        <v>102.73531468531468</v>
      </c>
      <c r="BQ23" s="5">
        <v>6399.132086905421</v>
      </c>
      <c r="BR23" s="5">
        <v>1374.297534511427</v>
      </c>
      <c r="BS23" s="5">
        <v>16693.751760092695</v>
      </c>
      <c r="BT23" s="5">
        <v>13077.12729264302</v>
      </c>
      <c r="BU23" s="5">
        <v>1797.9993934263105</v>
      </c>
      <c r="BV23" s="5">
        <v>76.84586706960636</v>
      </c>
      <c r="BW23" s="5">
        <v>168.48991675152968</v>
      </c>
      <c r="BX23" s="5">
        <v>63.1745303715892</v>
      </c>
      <c r="BY23" s="5">
        <v>910.2266048545602</v>
      </c>
      <c r="BZ23" s="5">
        <v>1563.5354440483825</v>
      </c>
      <c r="CA23" s="5">
        <v>212.24976788752238</v>
      </c>
      <c r="CB23" s="5">
        <v>495.0747149606453</v>
      </c>
      <c r="CC23" s="5">
        <v>410.04090588283105</v>
      </c>
      <c r="CD23" s="5">
        <v>446.17005531738374</v>
      </c>
      <c r="CE23" s="5">
        <v>16009.13416213229</v>
      </c>
      <c r="CF23" s="5">
        <v>15738.013343636</v>
      </c>
      <c r="CG23" s="5">
        <v>240.33900031447303</v>
      </c>
      <c r="CH23" s="5">
        <v>30.78181818181818</v>
      </c>
      <c r="CI23" s="5">
        <v>800.1074312007748</v>
      </c>
      <c r="CJ23" s="5">
        <v>14927.170322470705</v>
      </c>
      <c r="CK23" s="5">
        <v>2975.40319924646</v>
      </c>
      <c r="CL23" s="5">
        <v>1620.9106521590086</v>
      </c>
      <c r="CM23" s="5">
        <v>12255.74964381703</v>
      </c>
      <c r="CN23" s="5">
        <v>1930.493600281383</v>
      </c>
      <c r="CO23" s="5">
        <v>5702.063916982163</v>
      </c>
      <c r="CP23" s="5">
        <v>985.8858587020106</v>
      </c>
      <c r="CQ23" s="5">
        <v>459.05813663574423</v>
      </c>
      <c r="CR23" s="5">
        <v>254.7103429333145</v>
      </c>
      <c r="CS23" s="5">
        <v>32.77072258893627</v>
      </c>
      <c r="CT23" s="5">
        <v>12255.74964381703</v>
      </c>
      <c r="CU23" s="5">
        <v>2890.7670656934774</v>
      </c>
      <c r="CV23" s="5">
        <v>1406.1790838771035</v>
      </c>
      <c r="CW23" s="5">
        <v>420.50339977206687</v>
      </c>
      <c r="CX23" s="5">
        <v>411.2165206338007</v>
      </c>
      <c r="CY23" s="5">
        <v>392.55822340566186</v>
      </c>
      <c r="CZ23" s="5">
        <v>260.30983800484444</v>
      </c>
      <c r="DA23" s="5">
        <v>459.05813663574423</v>
      </c>
      <c r="DB23" s="5">
        <v>123.69373878919242</v>
      </c>
      <c r="DC23" s="5">
        <v>87.58790948597846</v>
      </c>
      <c r="DD23" s="5">
        <v>45.69593210418496</v>
      </c>
      <c r="DE23" s="5">
        <v>8873.153718898873</v>
      </c>
      <c r="DF23" s="5">
        <v>568.3201726298623</v>
      </c>
      <c r="DG23" s="5">
        <v>1813.261489177221</v>
      </c>
      <c r="DH23" s="5">
        <v>1724.6717990769039</v>
      </c>
      <c r="DI23" s="5">
        <v>3544.6130537579147</v>
      </c>
      <c r="DJ23" s="5">
        <v>1222.2872042569693</v>
      </c>
      <c r="DK23" s="5">
        <v>8873.153718898873</v>
      </c>
      <c r="DL23" s="5">
        <v>112.98572154715173</v>
      </c>
      <c r="DM23" s="5">
        <v>94.42885502135124</v>
      </c>
      <c r="DN23" s="5">
        <v>450.5166994694156</v>
      </c>
      <c r="DO23" s="5">
        <v>62.18072584757785</v>
      </c>
      <c r="DP23" s="5">
        <v>65.9291741726833</v>
      </c>
      <c r="DQ23" s="5">
        <v>643.6581164449321</v>
      </c>
      <c r="DR23" s="5">
        <v>1459.81108554447</v>
      </c>
      <c r="DS23" s="5">
        <v>430.38434999864796</v>
      </c>
      <c r="DT23" s="5">
        <v>737.4184551169042</v>
      </c>
      <c r="DU23" s="5">
        <v>250.17259821927868</v>
      </c>
      <c r="DV23" s="5">
        <v>137.74647758815138</v>
      </c>
      <c r="DW23" s="5">
        <v>98.10825578278386</v>
      </c>
      <c r="DX23" s="5">
        <v>460.3404494295295</v>
      </c>
      <c r="DY23" s="5">
        <v>322.5546137780916</v>
      </c>
      <c r="DZ23" s="5">
        <v>789.8592533367164</v>
      </c>
      <c r="EA23" s="5">
        <v>644.0984583996802</v>
      </c>
      <c r="EB23" s="5">
        <v>1708.7470952920344</v>
      </c>
      <c r="EC23" s="5">
        <v>404.2133339094719</v>
      </c>
      <c r="ED23" s="5">
        <v>8873.153718898873</v>
      </c>
      <c r="EE23" s="5">
        <v>864.0532486920349</v>
      </c>
      <c r="EF23" s="5">
        <v>1683.9840637226746</v>
      </c>
      <c r="EG23" s="5">
        <v>1256.149738483454</v>
      </c>
      <c r="EH23" s="5">
        <v>938.6070176216433</v>
      </c>
      <c r="EI23" s="5">
        <v>1021.6227769725164</v>
      </c>
      <c r="EJ23" s="5">
        <v>868.1214571458698</v>
      </c>
      <c r="EK23" s="5">
        <v>772.2428103798404</v>
      </c>
      <c r="EL23" s="5">
        <v>541.8391761770231</v>
      </c>
      <c r="EM23" s="5">
        <v>926.5334297038162</v>
      </c>
      <c r="EN23" s="5">
        <v>13470.310649823681</v>
      </c>
      <c r="EO23" s="5">
        <v>2537.3831533981675</v>
      </c>
      <c r="EP23" s="5">
        <v>3155.167817118736</v>
      </c>
      <c r="EQ23" s="5">
        <v>1984.4700092967348</v>
      </c>
      <c r="ER23" s="5">
        <v>1422.3356429434084</v>
      </c>
      <c r="ES23" s="5">
        <v>4370.954027066637</v>
      </c>
      <c r="ET23" s="11">
        <v>7409.491519782678</v>
      </c>
      <c r="EU23" s="11">
        <v>7087.410172360132</v>
      </c>
      <c r="EV23" s="11">
        <v>322.08134742254595</v>
      </c>
      <c r="EW23" s="11">
        <v>102.54541059179904</v>
      </c>
      <c r="EX23" s="11">
        <v>219.53593683074698</v>
      </c>
      <c r="EY23" s="11">
        <v>7035.410172360132</v>
      </c>
      <c r="EZ23" s="11">
        <v>2253.15268568788</v>
      </c>
      <c r="FA23" s="11">
        <v>2077.3795549106435</v>
      </c>
      <c r="FB23" s="11">
        <v>831.6165364855738</v>
      </c>
      <c r="FC23" s="11">
        <v>1867.142605868719</v>
      </c>
      <c r="FD23" s="11">
        <v>6.118789407313998</v>
      </c>
      <c r="FE23" s="11">
        <v>737.5108522576639</v>
      </c>
      <c r="FF23" s="11">
        <v>1532.3758929847172</v>
      </c>
      <c r="FG23" s="11">
        <v>488.9702515288201</v>
      </c>
      <c r="FH23" s="11">
        <v>862.4047822719707</v>
      </c>
      <c r="FI23" s="11">
        <v>1211.2313791725824</v>
      </c>
      <c r="FJ23" s="11">
        <v>369.9384995904973</v>
      </c>
      <c r="FK23" s="11">
        <v>415.5428090772952</v>
      </c>
      <c r="FL23" s="11">
        <v>284.0140777242541</v>
      </c>
      <c r="FM23" s="11">
        <v>36.51860891359259</v>
      </c>
      <c r="FN23" s="11">
        <v>469.12380053109365</v>
      </c>
      <c r="FO23" s="11">
        <v>201.56997483197136</v>
      </c>
      <c r="FP23" s="11">
        <v>106.0704660276213</v>
      </c>
      <c r="FQ23" s="11">
        <v>12</v>
      </c>
      <c r="FR23" s="11">
        <v>16.063636363636363</v>
      </c>
      <c r="FS23" s="11">
        <v>344.0751410844147</v>
      </c>
      <c r="FT23" s="11">
        <v>7087.410172360132</v>
      </c>
      <c r="FU23" s="11">
        <v>181.45926066908473</v>
      </c>
      <c r="FV23" s="11">
        <v>2070.4397234555518</v>
      </c>
      <c r="FW23" s="11">
        <v>880.6271129735086</v>
      </c>
      <c r="FX23" s="11">
        <v>383.3049741546621</v>
      </c>
      <c r="FY23" s="11">
        <v>467.12380053109365</v>
      </c>
      <c r="FZ23" s="11">
        <v>188.79131358837242</v>
      </c>
      <c r="GA23" s="11">
        <v>138.7014971548187</v>
      </c>
      <c r="GB23" s="11">
        <v>139.6309897879026</v>
      </c>
      <c r="GC23" s="11">
        <v>265.82698702198115</v>
      </c>
      <c r="GD23" s="11">
        <v>471.68386523568256</v>
      </c>
      <c r="GE23" s="11">
        <v>553.0523689326383</v>
      </c>
      <c r="GF23" s="11">
        <v>1513.71483057865</v>
      </c>
      <c r="GG23" s="11">
        <v>1243.2982379643713</v>
      </c>
      <c r="GH23" s="11">
        <v>6</v>
      </c>
      <c r="GI23" s="11">
        <v>112.00473292765382</v>
      </c>
      <c r="GJ23" s="11">
        <v>44.08899521531101</v>
      </c>
      <c r="GK23" s="11">
        <v>62.97259921932412</v>
      </c>
      <c r="GL23" s="11">
        <v>45.35026525198939</v>
      </c>
      <c r="GM23" s="11">
        <v>11466.993858025613</v>
      </c>
      <c r="GN23" s="11">
        <v>1298.111791965192</v>
      </c>
      <c r="GO23" s="11">
        <v>4.03921568627451</v>
      </c>
      <c r="GP23" s="11">
        <v>86.45676485798764</v>
      </c>
      <c r="GQ23" s="11">
        <v>692.0252681043173</v>
      </c>
      <c r="GR23" s="11">
        <v>59.49096265086053</v>
      </c>
      <c r="GS23" s="11">
        <v>4499.740841338708</v>
      </c>
      <c r="GT23" s="11">
        <v>1148.858688137302</v>
      </c>
      <c r="GU23" s="11">
        <v>15.052631578947368</v>
      </c>
      <c r="GV23" s="11">
        <v>468.04428139294237</v>
      </c>
      <c r="GW23" s="11">
        <v>3070.5329478118256</v>
      </c>
      <c r="GX23" s="11">
        <v>124.64046450125501</v>
      </c>
    </row>
    <row r="24" spans="1:206" ht="12.75">
      <c r="A24" s="5" t="s">
        <v>288</v>
      </c>
      <c r="B24" s="5">
        <v>411.128715</v>
      </c>
      <c r="C24" s="5">
        <v>12837.452251492161</v>
      </c>
      <c r="D24" s="5">
        <v>660.5833063716295</v>
      </c>
      <c r="E24" s="5">
        <v>1667.1080612435335</v>
      </c>
      <c r="F24" s="5">
        <v>1685.4844425888805</v>
      </c>
      <c r="G24" s="5">
        <v>2315.8875156238305</v>
      </c>
      <c r="H24" s="5">
        <v>2880.722200381646</v>
      </c>
      <c r="I24" s="5">
        <v>2351.4421427395846</v>
      </c>
      <c r="J24" s="5">
        <v>1276.2245825430568</v>
      </c>
      <c r="K24" s="5">
        <v>2327.691367615163</v>
      </c>
      <c r="L24" s="5">
        <v>7806.882375081724</v>
      </c>
      <c r="M24" s="5">
        <v>2702.878508795274</v>
      </c>
      <c r="N24" s="5">
        <v>6213.591923528967</v>
      </c>
      <c r="O24" s="5">
        <v>6623.860327963194</v>
      </c>
      <c r="P24" s="5">
        <v>12606.966329866616</v>
      </c>
      <c r="Q24" s="5">
        <v>230.48592162554428</v>
      </c>
      <c r="R24" s="5">
        <v>5615.714659904352</v>
      </c>
      <c r="S24" s="5">
        <v>1746.7159120016704</v>
      </c>
      <c r="T24" s="5">
        <v>2132.8168338214255</v>
      </c>
      <c r="U24" s="5">
        <v>753.4276566511508</v>
      </c>
      <c r="V24" s="5">
        <v>689.6481081714344</v>
      </c>
      <c r="W24" s="5">
        <v>208.84426591784057</v>
      </c>
      <c r="X24" s="5">
        <v>84.2618833408307</v>
      </c>
      <c r="Y24" s="5">
        <v>3854.495857778897</v>
      </c>
      <c r="Z24" s="5">
        <v>683.1895660679929</v>
      </c>
      <c r="AA24" s="5">
        <v>264.9897435897436</v>
      </c>
      <c r="AB24" s="5">
        <v>643.6185052812145</v>
      </c>
      <c r="AC24" s="5">
        <v>94.83128429680156</v>
      </c>
      <c r="AD24" s="5">
        <v>6921.961007553388</v>
      </c>
      <c r="AE24" s="5">
        <v>1144.1464106774451</v>
      </c>
      <c r="AF24" s="5">
        <v>2592.1198723875405</v>
      </c>
      <c r="AG24" s="5">
        <v>1469.5916815140351</v>
      </c>
      <c r="AH24" s="5">
        <v>409.8566953253321</v>
      </c>
      <c r="AI24" s="5">
        <v>6918.281973073528</v>
      </c>
      <c r="AJ24" s="5">
        <v>3872.1652345041075</v>
      </c>
      <c r="AK24" s="5">
        <v>1476.98561050291</v>
      </c>
      <c r="AL24" s="5">
        <v>440.74189236667064</v>
      </c>
      <c r="AM24" s="5">
        <v>129.27754104494508</v>
      </c>
      <c r="AN24" s="5">
        <v>1147.9876843137433</v>
      </c>
      <c r="AO24" s="5">
        <v>1318.5366463080054</v>
      </c>
      <c r="AP24" s="5">
        <v>10370.927920870412</v>
      </c>
      <c r="AQ24" s="5">
        <v>11637.631700676768</v>
      </c>
      <c r="AR24" s="5">
        <v>675.939448627686</v>
      </c>
      <c r="AS24" s="5">
        <v>92.60988026344324</v>
      </c>
      <c r="AT24" s="5">
        <v>89.99082252478479</v>
      </c>
      <c r="AU24" s="5">
        <v>341.2803993994796</v>
      </c>
      <c r="AV24" s="5">
        <v>12837.452251492161</v>
      </c>
      <c r="AW24" s="5">
        <v>10127.865709038735</v>
      </c>
      <c r="AX24" s="5">
        <v>2173.2463600738165</v>
      </c>
      <c r="AY24" s="5">
        <v>91.85341217013305</v>
      </c>
      <c r="AZ24" s="5">
        <v>41.388888888888886</v>
      </c>
      <c r="BA24" s="5">
        <v>168.3053384048179</v>
      </c>
      <c r="BB24" s="5">
        <v>128.93816458969354</v>
      </c>
      <c r="BC24" s="5">
        <v>12837.452251492161</v>
      </c>
      <c r="BD24" s="5">
        <v>7471.303702460528</v>
      </c>
      <c r="BE24" s="5">
        <v>1506.905454914834</v>
      </c>
      <c r="BF24" s="5">
        <v>2184.4847759562617</v>
      </c>
      <c r="BG24" s="5">
        <v>283.2164684771335</v>
      </c>
      <c r="BH24" s="5">
        <v>665.1902534684475</v>
      </c>
      <c r="BI24" s="5">
        <v>424.7478153744804</v>
      </c>
      <c r="BJ24" s="5">
        <v>266.6037808404757</v>
      </c>
      <c r="BK24" s="5">
        <v>35</v>
      </c>
      <c r="BL24" s="5">
        <v>12837.452251492161</v>
      </c>
      <c r="BM24" s="5">
        <v>4640.299655764595</v>
      </c>
      <c r="BN24" s="5">
        <v>840.0818519517796</v>
      </c>
      <c r="BO24" s="5">
        <v>1158.4410277134484</v>
      </c>
      <c r="BP24" s="5">
        <v>41.339622641509436</v>
      </c>
      <c r="BQ24" s="5">
        <v>4996.2697258664175</v>
      </c>
      <c r="BR24" s="5">
        <v>1061.974213708258</v>
      </c>
      <c r="BS24" s="5">
        <v>12837.452251492161</v>
      </c>
      <c r="BT24" s="5">
        <v>9760.030153853624</v>
      </c>
      <c r="BU24" s="5">
        <v>2283.048707778934</v>
      </c>
      <c r="BV24" s="5">
        <v>78.29163583850774</v>
      </c>
      <c r="BW24" s="5">
        <v>72.42268295231347</v>
      </c>
      <c r="BX24" s="5">
        <v>59.98304179976269</v>
      </c>
      <c r="BY24" s="5">
        <v>202.45910247149163</v>
      </c>
      <c r="BZ24" s="5">
        <v>641.597532607244</v>
      </c>
      <c r="CA24" s="5">
        <v>57.46823553804686</v>
      </c>
      <c r="CB24" s="5">
        <v>87.38785142181368</v>
      </c>
      <c r="CC24" s="5">
        <v>125.36366934831474</v>
      </c>
      <c r="CD24" s="5">
        <v>371.37777629906856</v>
      </c>
      <c r="CE24" s="5">
        <v>12423.097078650504</v>
      </c>
      <c r="CF24" s="5">
        <v>12309.06113974664</v>
      </c>
      <c r="CG24" s="5">
        <v>102.03593890386344</v>
      </c>
      <c r="CH24" s="5">
        <v>12</v>
      </c>
      <c r="CI24" s="5">
        <v>283.49774754409896</v>
      </c>
      <c r="CJ24" s="5">
        <v>12015.07081022432</v>
      </c>
      <c r="CK24" s="5">
        <v>3046.780377496187</v>
      </c>
      <c r="CL24" s="5">
        <v>537.648563146964</v>
      </c>
      <c r="CM24" s="5">
        <v>9233.536301333941</v>
      </c>
      <c r="CN24" s="5">
        <v>1374.1306631943621</v>
      </c>
      <c r="CO24" s="5">
        <v>3542.445536995874</v>
      </c>
      <c r="CP24" s="5">
        <v>879.9376320885515</v>
      </c>
      <c r="CQ24" s="5">
        <v>375.55631236196245</v>
      </c>
      <c r="CR24" s="5">
        <v>143.01094762385725</v>
      </c>
      <c r="CS24" s="5">
        <v>33.339622641509436</v>
      </c>
      <c r="CT24" s="5">
        <v>9233.536301333941</v>
      </c>
      <c r="CU24" s="5">
        <v>2885.115586427825</v>
      </c>
      <c r="CV24" s="5">
        <v>1710.0227026730813</v>
      </c>
      <c r="CW24" s="5">
        <v>285.1591526040521</v>
      </c>
      <c r="CX24" s="5">
        <v>397.02308124352777</v>
      </c>
      <c r="CY24" s="5">
        <v>351.54552160670704</v>
      </c>
      <c r="CZ24" s="5">
        <v>141.3651283004569</v>
      </c>
      <c r="DA24" s="5">
        <v>375.55631236196245</v>
      </c>
      <c r="DB24" s="5">
        <v>104.29409078975904</v>
      </c>
      <c r="DC24" s="5">
        <v>90.4452707069767</v>
      </c>
      <c r="DD24" s="5">
        <v>31</v>
      </c>
      <c r="DE24" s="5">
        <v>5939.524779902646</v>
      </c>
      <c r="DF24" s="5">
        <v>411.2899492682905</v>
      </c>
      <c r="DG24" s="5">
        <v>1302.387093786159</v>
      </c>
      <c r="DH24" s="5">
        <v>1054.6037903092315</v>
      </c>
      <c r="DI24" s="5">
        <v>2184.533426052996</v>
      </c>
      <c r="DJ24" s="5">
        <v>986.7105204859682</v>
      </c>
      <c r="DK24" s="5">
        <v>5939.524779902646</v>
      </c>
      <c r="DL24" s="5">
        <v>305.3684602293649</v>
      </c>
      <c r="DM24" s="5">
        <v>90.03839385511473</v>
      </c>
      <c r="DN24" s="5">
        <v>292.056602188955</v>
      </c>
      <c r="DO24" s="5">
        <v>30.974358974358974</v>
      </c>
      <c r="DP24" s="5">
        <v>43.9973474801061</v>
      </c>
      <c r="DQ24" s="5">
        <v>492.7111543588242</v>
      </c>
      <c r="DR24" s="5">
        <v>876.7760408743081</v>
      </c>
      <c r="DS24" s="5">
        <v>306.73422261730656</v>
      </c>
      <c r="DT24" s="5">
        <v>471.0014387491564</v>
      </c>
      <c r="DU24" s="5">
        <v>184.25867998157148</v>
      </c>
      <c r="DV24" s="5">
        <v>87.5097210604042</v>
      </c>
      <c r="DW24" s="5">
        <v>81.55585348548401</v>
      </c>
      <c r="DX24" s="5">
        <v>314.3235751769807</v>
      </c>
      <c r="DY24" s="5">
        <v>264.215842117681</v>
      </c>
      <c r="DZ24" s="5">
        <v>419.1752152473003</v>
      </c>
      <c r="EA24" s="5">
        <v>428.93832585400577</v>
      </c>
      <c r="EB24" s="5">
        <v>931.1465977710851</v>
      </c>
      <c r="EC24" s="5">
        <v>318.74294988063775</v>
      </c>
      <c r="ED24" s="5">
        <v>5939.524779902646</v>
      </c>
      <c r="EE24" s="5">
        <v>597.0575721859186</v>
      </c>
      <c r="EF24" s="5">
        <v>900.1539915941587</v>
      </c>
      <c r="EG24" s="5">
        <v>722.5467852493842</v>
      </c>
      <c r="EH24" s="5">
        <v>577.4705557650974</v>
      </c>
      <c r="EI24" s="5">
        <v>940.6563615983779</v>
      </c>
      <c r="EJ24" s="5">
        <v>626.663086155741</v>
      </c>
      <c r="EK24" s="5">
        <v>453.9968362843615</v>
      </c>
      <c r="EL24" s="5">
        <v>494.55625670340595</v>
      </c>
      <c r="EM24" s="5">
        <v>626.4233343661998</v>
      </c>
      <c r="EN24" s="5">
        <v>10509.760883877</v>
      </c>
      <c r="EO24" s="5">
        <v>2656.1132954948243</v>
      </c>
      <c r="EP24" s="5">
        <v>2594.432302027779</v>
      </c>
      <c r="EQ24" s="5">
        <v>1496.0577188944924</v>
      </c>
      <c r="ER24" s="5">
        <v>943.2799615580221</v>
      </c>
      <c r="ES24" s="5">
        <v>2819.8776059018805</v>
      </c>
      <c r="ET24" s="11">
        <v>5832.617032132907</v>
      </c>
      <c r="EU24" s="11">
        <v>5615.714659904352</v>
      </c>
      <c r="EV24" s="11">
        <v>216.90237222855447</v>
      </c>
      <c r="EW24" s="11">
        <v>69.93072228140542</v>
      </c>
      <c r="EX24" s="11">
        <v>146.97164994714907</v>
      </c>
      <c r="EY24" s="11">
        <v>5615.714659904352</v>
      </c>
      <c r="EZ24" s="11">
        <v>2469.2724472041255</v>
      </c>
      <c r="FA24" s="11">
        <v>1793.4914694927877</v>
      </c>
      <c r="FB24" s="11">
        <v>636.2652895647691</v>
      </c>
      <c r="FC24" s="11">
        <v>709.5111160893855</v>
      </c>
      <c r="FD24" s="11">
        <v>7.174337553284921</v>
      </c>
      <c r="FE24" s="11">
        <v>874.6639074107313</v>
      </c>
      <c r="FF24" s="11">
        <v>872.052004590939</v>
      </c>
      <c r="FG24" s="11">
        <v>569.2551703302208</v>
      </c>
      <c r="FH24" s="11">
        <v>882.2167065966917</v>
      </c>
      <c r="FI24" s="11">
        <v>829.9105836342352</v>
      </c>
      <c r="FJ24" s="11">
        <v>301.0891763368461</v>
      </c>
      <c r="FK24" s="11">
        <v>264.436016839222</v>
      </c>
      <c r="FL24" s="11">
        <v>211.5665480382359</v>
      </c>
      <c r="FM24" s="11">
        <v>25.10790250738201</v>
      </c>
      <c r="FN24" s="11">
        <v>335.06455696403646</v>
      </c>
      <c r="FO24" s="11">
        <v>212.10400163363215</v>
      </c>
      <c r="FP24" s="11">
        <v>90.30659126448599</v>
      </c>
      <c r="FQ24" s="11">
        <v>0</v>
      </c>
      <c r="FR24" s="11">
        <v>15</v>
      </c>
      <c r="FS24" s="11">
        <v>132.94149375769416</v>
      </c>
      <c r="FT24" s="11">
        <v>5615.714659904352</v>
      </c>
      <c r="FU24" s="11">
        <v>183.34994419440878</v>
      </c>
      <c r="FV24" s="11">
        <v>1466.848279900994</v>
      </c>
      <c r="FW24" s="11">
        <v>520.8402341539418</v>
      </c>
      <c r="FX24" s="11">
        <v>313.7461337546637</v>
      </c>
      <c r="FY24" s="11">
        <v>334.06455696403646</v>
      </c>
      <c r="FZ24" s="11">
        <v>122.14501424501424</v>
      </c>
      <c r="GA24" s="11">
        <v>75.76586638258726</v>
      </c>
      <c r="GB24" s="11">
        <v>136.15367633643496</v>
      </c>
      <c r="GC24" s="11">
        <v>351.2995094574042</v>
      </c>
      <c r="GD24" s="11">
        <v>523.3643979533272</v>
      </c>
      <c r="GE24" s="11">
        <v>627.2909538204987</v>
      </c>
      <c r="GF24" s="11">
        <v>1783.3162475432139</v>
      </c>
      <c r="GG24" s="11">
        <v>1322.9659303489525</v>
      </c>
      <c r="GH24" s="11">
        <v>11</v>
      </c>
      <c r="GI24" s="11">
        <v>241.114265748228</v>
      </c>
      <c r="GJ24" s="11">
        <v>69.97435897435898</v>
      </c>
      <c r="GK24" s="11">
        <v>93.24630785628972</v>
      </c>
      <c r="GL24" s="11">
        <v>45.01538461538462</v>
      </c>
      <c r="GM24" s="11">
        <v>7949.0567819657035</v>
      </c>
      <c r="GN24" s="11">
        <v>1054.1558936391966</v>
      </c>
      <c r="GO24" s="11">
        <v>2</v>
      </c>
      <c r="GP24" s="11">
        <v>177.835818789755</v>
      </c>
      <c r="GQ24" s="11">
        <v>610.9431616970123</v>
      </c>
      <c r="GR24" s="11">
        <v>30.63157894736842</v>
      </c>
      <c r="GS24" s="11">
        <v>3400.6887908285917</v>
      </c>
      <c r="GT24" s="11">
        <v>778.7128457358914</v>
      </c>
      <c r="GU24" s="11">
        <v>24.872486772486774</v>
      </c>
      <c r="GV24" s="11">
        <v>297.06136162687886</v>
      </c>
      <c r="GW24" s="11">
        <v>1441.289390345501</v>
      </c>
      <c r="GX24" s="11">
        <v>130.86545358302027</v>
      </c>
    </row>
    <row r="25" spans="1:206" ht="12.75">
      <c r="A25" s="5" t="s">
        <v>289</v>
      </c>
      <c r="B25" s="5">
        <v>1596.419744</v>
      </c>
      <c r="C25" s="5">
        <v>4135.572924365608</v>
      </c>
      <c r="D25" s="5">
        <v>169.63753387533876</v>
      </c>
      <c r="E25" s="5">
        <v>524.1346575511209</v>
      </c>
      <c r="F25" s="5">
        <v>460.244216555802</v>
      </c>
      <c r="G25" s="5">
        <v>644.2738851933974</v>
      </c>
      <c r="H25" s="5">
        <v>1068.0878911061839</v>
      </c>
      <c r="I25" s="5">
        <v>870.5837706331608</v>
      </c>
      <c r="J25" s="5">
        <v>398.6109694506036</v>
      </c>
      <c r="K25" s="5">
        <v>693.7721914264596</v>
      </c>
      <c r="L25" s="5">
        <v>2562.537084257206</v>
      </c>
      <c r="M25" s="5">
        <v>879.2636486819414</v>
      </c>
      <c r="N25" s="5">
        <v>2068.888186745504</v>
      </c>
      <c r="O25" s="5">
        <v>2066.6847376201035</v>
      </c>
      <c r="P25" s="5">
        <v>4073.572924365608</v>
      </c>
      <c r="Q25" s="5">
        <v>62</v>
      </c>
      <c r="R25" s="5">
        <v>1895.4280549396403</v>
      </c>
      <c r="S25" s="5">
        <v>638.6931202266568</v>
      </c>
      <c r="T25" s="5">
        <v>737.8031781226903</v>
      </c>
      <c r="U25" s="5">
        <v>246.22028208918454</v>
      </c>
      <c r="V25" s="5">
        <v>174.90987928061102</v>
      </c>
      <c r="W25" s="5">
        <v>71.83648681941365</v>
      </c>
      <c r="X25" s="5">
        <v>25.96510840108401</v>
      </c>
      <c r="Y25" s="5">
        <v>1327.4776915496427</v>
      </c>
      <c r="Z25" s="5">
        <v>176.9512195121951</v>
      </c>
      <c r="AA25" s="5">
        <v>141.06422148312393</v>
      </c>
      <c r="AB25" s="5">
        <v>145.5410692288741</v>
      </c>
      <c r="AC25" s="5">
        <v>69.97899728997291</v>
      </c>
      <c r="AD25" s="5">
        <v>2446.0582840601132</v>
      </c>
      <c r="AE25" s="5">
        <v>309.0677137225918</v>
      </c>
      <c r="AF25" s="5">
        <v>934.1024143877803</v>
      </c>
      <c r="AG25" s="5">
        <v>500.24665558019217</v>
      </c>
      <c r="AH25" s="5">
        <v>152.01127124907612</v>
      </c>
      <c r="AI25" s="5">
        <v>2220.2904841093864</v>
      </c>
      <c r="AJ25" s="5">
        <v>1288.6698263118994</v>
      </c>
      <c r="AK25" s="5">
        <v>469.8420793298842</v>
      </c>
      <c r="AL25" s="5">
        <v>120.3068982508007</v>
      </c>
      <c r="AM25" s="5">
        <v>36.46363636363637</v>
      </c>
      <c r="AN25" s="5">
        <v>299.1543298842079</v>
      </c>
      <c r="AO25" s="5">
        <v>475.47700788371515</v>
      </c>
      <c r="AP25" s="5">
        <v>3360.941586597684</v>
      </c>
      <c r="AQ25" s="5">
        <v>3689.3149852180336</v>
      </c>
      <c r="AR25" s="5">
        <v>275.5391290958364</v>
      </c>
      <c r="AS25" s="5">
        <v>34.013888888888886</v>
      </c>
      <c r="AT25" s="5">
        <v>29.463636363636365</v>
      </c>
      <c r="AU25" s="5">
        <v>107.24128479921163</v>
      </c>
      <c r="AV25" s="5">
        <v>4135.572924365608</v>
      </c>
      <c r="AW25" s="5">
        <v>3076.2403486080316</v>
      </c>
      <c r="AX25" s="5">
        <v>915.4712552352796</v>
      </c>
      <c r="AY25" s="5">
        <v>28.96510840108401</v>
      </c>
      <c r="AZ25" s="5">
        <v>3</v>
      </c>
      <c r="BA25" s="5">
        <v>61.404797979797976</v>
      </c>
      <c r="BB25" s="5">
        <v>13.01388888888889</v>
      </c>
      <c r="BC25" s="5">
        <v>4135.572924365608</v>
      </c>
      <c r="BD25" s="5">
        <v>2342.3033382606554</v>
      </c>
      <c r="BE25" s="5">
        <v>569.7899544222714</v>
      </c>
      <c r="BF25" s="5">
        <v>619.4301552106431</v>
      </c>
      <c r="BG25" s="5">
        <v>109.3249568859325</v>
      </c>
      <c r="BH25" s="5">
        <v>231.52663217541266</v>
      </c>
      <c r="BI25" s="5">
        <v>187.97432249322495</v>
      </c>
      <c r="BJ25" s="5">
        <v>66.22356491746736</v>
      </c>
      <c r="BK25" s="5">
        <v>9</v>
      </c>
      <c r="BL25" s="5">
        <v>4135.572924365608</v>
      </c>
      <c r="BM25" s="5">
        <v>1596.8994887903425</v>
      </c>
      <c r="BN25" s="5">
        <v>249.16888396156688</v>
      </c>
      <c r="BO25" s="5">
        <v>512.0659830007392</v>
      </c>
      <c r="BP25" s="5">
        <v>4</v>
      </c>
      <c r="BQ25" s="5">
        <v>1397.2601318058635</v>
      </c>
      <c r="BR25" s="5">
        <v>335.1716617393447</v>
      </c>
      <c r="BS25" s="5">
        <v>4135.572924365608</v>
      </c>
      <c r="BT25" s="5">
        <v>2910.290194629219</v>
      </c>
      <c r="BU25" s="5">
        <v>1017.2637965016014</v>
      </c>
      <c r="BV25" s="5">
        <v>27.77087336782459</v>
      </c>
      <c r="BW25" s="5">
        <v>22.978997289972902</v>
      </c>
      <c r="BX25" s="5">
        <v>12.01388888888889</v>
      </c>
      <c r="BY25" s="5">
        <v>53.99671717171717</v>
      </c>
      <c r="BZ25" s="5">
        <v>156.2690625769894</v>
      </c>
      <c r="CA25" s="5">
        <v>12.027777777777779</v>
      </c>
      <c r="CB25" s="5">
        <v>8.01388888888889</v>
      </c>
      <c r="CC25" s="5">
        <v>29.951219512195124</v>
      </c>
      <c r="CD25" s="5">
        <v>106.27617639812762</v>
      </c>
      <c r="CE25" s="5">
        <v>4035.705376940133</v>
      </c>
      <c r="CF25" s="5">
        <v>4022.691488051244</v>
      </c>
      <c r="CG25" s="5">
        <v>10.01388888888889</v>
      </c>
      <c r="CH25" s="5">
        <v>3</v>
      </c>
      <c r="CI25" s="5">
        <v>636.8583518107909</v>
      </c>
      <c r="CJ25" s="5">
        <v>3158.1145479182064</v>
      </c>
      <c r="CK25" s="5">
        <v>556.7474624291697</v>
      </c>
      <c r="CL25" s="5">
        <v>349.72591155457013</v>
      </c>
      <c r="CM25" s="5">
        <v>3043.189763488544</v>
      </c>
      <c r="CN25" s="5">
        <v>408.41573047548655</v>
      </c>
      <c r="CO25" s="5">
        <v>977.4323725055433</v>
      </c>
      <c r="CP25" s="5">
        <v>538.7623983739838</v>
      </c>
      <c r="CQ25" s="5">
        <v>135.41157304754864</v>
      </c>
      <c r="CR25" s="5">
        <v>27.428744764720374</v>
      </c>
      <c r="CS25" s="5">
        <v>11</v>
      </c>
      <c r="CT25" s="5">
        <v>3043.189763488544</v>
      </c>
      <c r="CU25" s="5">
        <v>944.7389443212614</v>
      </c>
      <c r="CV25" s="5">
        <v>573.5651761517615</v>
      </c>
      <c r="CW25" s="5">
        <v>113.25811776299581</v>
      </c>
      <c r="CX25" s="5">
        <v>123.93021680216802</v>
      </c>
      <c r="CY25" s="5">
        <v>91.09722222222223</v>
      </c>
      <c r="CZ25" s="5">
        <v>42.88821138211382</v>
      </c>
      <c r="DA25" s="5">
        <v>135.41157304754864</v>
      </c>
      <c r="DB25" s="5">
        <v>26.442633653609267</v>
      </c>
      <c r="DC25" s="5">
        <v>43.02777777777778</v>
      </c>
      <c r="DD25" s="5">
        <v>7</v>
      </c>
      <c r="DE25" s="5">
        <v>1952.039246119734</v>
      </c>
      <c r="DF25" s="5">
        <v>153.53463291451095</v>
      </c>
      <c r="DG25" s="5">
        <v>397.6771310667652</v>
      </c>
      <c r="DH25" s="5">
        <v>308.64191303276664</v>
      </c>
      <c r="DI25" s="5">
        <v>666.3277100271002</v>
      </c>
      <c r="DJ25" s="5">
        <v>425.8578590785908</v>
      </c>
      <c r="DK25" s="5">
        <v>1952.039246119734</v>
      </c>
      <c r="DL25" s="5">
        <v>180.60802537570834</v>
      </c>
      <c r="DM25" s="5">
        <v>21.02777777777778</v>
      </c>
      <c r="DN25" s="5">
        <v>77.43029687115053</v>
      </c>
      <c r="DO25" s="5">
        <v>12</v>
      </c>
      <c r="DP25" s="5">
        <v>10.927272727272728</v>
      </c>
      <c r="DQ25" s="5">
        <v>202.4820214338507</v>
      </c>
      <c r="DR25" s="5">
        <v>201.24005912786401</v>
      </c>
      <c r="DS25" s="5">
        <v>143.88526730721853</v>
      </c>
      <c r="DT25" s="5">
        <v>276.77297363882735</v>
      </c>
      <c r="DU25" s="5">
        <v>27.50530303030303</v>
      </c>
      <c r="DV25" s="5">
        <v>24</v>
      </c>
      <c r="DW25" s="5">
        <v>24.992886178861788</v>
      </c>
      <c r="DX25" s="5">
        <v>99.90627001724563</v>
      </c>
      <c r="DY25" s="5">
        <v>59.88232323232323</v>
      </c>
      <c r="DZ25" s="5">
        <v>80.89915619610741</v>
      </c>
      <c r="EA25" s="5">
        <v>168.6561406750431</v>
      </c>
      <c r="EB25" s="5">
        <v>235.43967726040896</v>
      </c>
      <c r="EC25" s="5">
        <v>104.38379526977089</v>
      </c>
      <c r="ED25" s="5">
        <v>1952.039246119734</v>
      </c>
      <c r="EE25" s="5">
        <v>266.42439640305497</v>
      </c>
      <c r="EF25" s="5">
        <v>250.0529379157428</v>
      </c>
      <c r="EG25" s="5">
        <v>178.47545577728505</v>
      </c>
      <c r="EH25" s="5">
        <v>139.0848854397635</v>
      </c>
      <c r="EI25" s="5">
        <v>460.45928800197095</v>
      </c>
      <c r="EJ25" s="5">
        <v>200.8361480660261</v>
      </c>
      <c r="EK25" s="5">
        <v>110.9441056910569</v>
      </c>
      <c r="EL25" s="5">
        <v>152.81637102734663</v>
      </c>
      <c r="EM25" s="5">
        <v>192.94565779748706</v>
      </c>
      <c r="EN25" s="5">
        <v>3441.800732939148</v>
      </c>
      <c r="EO25" s="5">
        <v>781.3661061837892</v>
      </c>
      <c r="EP25" s="5">
        <v>759.4094912540035</v>
      </c>
      <c r="EQ25" s="5">
        <v>558.2718280364622</v>
      </c>
      <c r="ER25" s="5">
        <v>292.36694998768166</v>
      </c>
      <c r="ES25" s="5">
        <v>1050.3863574772113</v>
      </c>
      <c r="ET25" s="11">
        <v>2444.794660014782</v>
      </c>
      <c r="EU25" s="11">
        <v>1895.4280549396403</v>
      </c>
      <c r="EV25" s="11">
        <v>549.3666050751416</v>
      </c>
      <c r="EW25" s="11">
        <v>509.8613020448386</v>
      </c>
      <c r="EX25" s="11">
        <v>39.505303030303025</v>
      </c>
      <c r="EY25" s="11">
        <v>1895.4280549396403</v>
      </c>
      <c r="EZ25" s="11">
        <v>1093.7979305247597</v>
      </c>
      <c r="FA25" s="11">
        <v>511.9107661985711</v>
      </c>
      <c r="FB25" s="11">
        <v>160.24545454545455</v>
      </c>
      <c r="FC25" s="11">
        <v>112.42874476472038</v>
      </c>
      <c r="FD25" s="11">
        <v>17.045158906134517</v>
      </c>
      <c r="FE25" s="11">
        <v>280.03227395910324</v>
      </c>
      <c r="FF25" s="11">
        <v>358.66084626755355</v>
      </c>
      <c r="FG25" s="11">
        <v>196.93854397634885</v>
      </c>
      <c r="FH25" s="11">
        <v>325.99498644986454</v>
      </c>
      <c r="FI25" s="11">
        <v>221.79514658782952</v>
      </c>
      <c r="FJ25" s="11">
        <v>97.43257575757575</v>
      </c>
      <c r="FK25" s="11">
        <v>84.20639320029564</v>
      </c>
      <c r="FL25" s="11">
        <v>67.82971175166298</v>
      </c>
      <c r="FM25" s="11">
        <v>8.951219512195122</v>
      </c>
      <c r="FN25" s="11">
        <v>108.87137841832963</v>
      </c>
      <c r="FO25" s="11">
        <v>65.25845651638335</v>
      </c>
      <c r="FP25" s="11">
        <v>27.01388888888889</v>
      </c>
      <c r="FQ25" s="11">
        <v>0</v>
      </c>
      <c r="FR25" s="11">
        <v>6</v>
      </c>
      <c r="FS25" s="11">
        <v>46.44263365360926</v>
      </c>
      <c r="FT25" s="11">
        <v>1895.4280549396403</v>
      </c>
      <c r="FU25" s="11">
        <v>44.013888888888886</v>
      </c>
      <c r="FV25" s="11">
        <v>425.51012564671106</v>
      </c>
      <c r="FW25" s="11">
        <v>124.73509485094851</v>
      </c>
      <c r="FX25" s="11">
        <v>99.40774205469327</v>
      </c>
      <c r="FY25" s="11">
        <v>108.87137841832963</v>
      </c>
      <c r="FZ25" s="11">
        <v>46.36607538802661</v>
      </c>
      <c r="GA25" s="11">
        <v>30.491414141414143</v>
      </c>
      <c r="GB25" s="11">
        <v>32.013888888888886</v>
      </c>
      <c r="GC25" s="11">
        <v>121.23745380635624</v>
      </c>
      <c r="GD25" s="11">
        <v>158.79482015274698</v>
      </c>
      <c r="GE25" s="11">
        <v>238.8161492978566</v>
      </c>
      <c r="GF25" s="11">
        <v>611.4637841832964</v>
      </c>
      <c r="GG25" s="11">
        <v>493.15654717910814</v>
      </c>
      <c r="GH25" s="11">
        <v>3</v>
      </c>
      <c r="GI25" s="11">
        <v>44.951219512195124</v>
      </c>
      <c r="GJ25" s="11">
        <v>23.463636363636365</v>
      </c>
      <c r="GK25" s="11">
        <v>29.927272727272726</v>
      </c>
      <c r="GL25" s="11">
        <v>16.96510840108401</v>
      </c>
      <c r="GM25" s="11">
        <v>2612.2507883715202</v>
      </c>
      <c r="GN25" s="11">
        <v>607.4735464400098</v>
      </c>
      <c r="GO25" s="11">
        <v>3</v>
      </c>
      <c r="GP25" s="11">
        <v>22.01388888888889</v>
      </c>
      <c r="GQ25" s="11">
        <v>356.76407366346393</v>
      </c>
      <c r="GR25" s="11">
        <v>6</v>
      </c>
      <c r="GS25" s="11">
        <v>1034.659103227396</v>
      </c>
      <c r="GT25" s="11">
        <v>195.73664695737867</v>
      </c>
      <c r="GU25" s="11">
        <v>7</v>
      </c>
      <c r="GV25" s="11">
        <v>41</v>
      </c>
      <c r="GW25" s="11">
        <v>301.70109016999265</v>
      </c>
      <c r="GX25" s="11">
        <v>36.90243902439025</v>
      </c>
    </row>
    <row r="26" spans="1:206" ht="12.75">
      <c r="A26" s="5" t="s">
        <v>290</v>
      </c>
      <c r="B26" s="5">
        <v>1700.267285</v>
      </c>
      <c r="C26" s="5">
        <v>9825.111111111111</v>
      </c>
      <c r="D26" s="5">
        <v>482.97222222222223</v>
      </c>
      <c r="E26" s="5">
        <v>1140.8194444444443</v>
      </c>
      <c r="F26" s="5">
        <v>1210.7083333333335</v>
      </c>
      <c r="G26" s="5">
        <v>1616.7777777777778</v>
      </c>
      <c r="H26" s="5">
        <v>2543.3611111111113</v>
      </c>
      <c r="I26" s="5">
        <v>2006.5694444444443</v>
      </c>
      <c r="J26" s="5">
        <v>823.9027777777778</v>
      </c>
      <c r="K26" s="5">
        <v>1623.7916666666667</v>
      </c>
      <c r="L26" s="5">
        <v>6256.625</v>
      </c>
      <c r="M26" s="5">
        <v>1944.6944444444443</v>
      </c>
      <c r="N26" s="5">
        <v>4820.027777777777</v>
      </c>
      <c r="O26" s="5">
        <v>5005.083333333334</v>
      </c>
      <c r="P26" s="5">
        <v>9591.111111111111</v>
      </c>
      <c r="Q26" s="5">
        <v>234</v>
      </c>
      <c r="R26" s="5">
        <v>4379.097222222223</v>
      </c>
      <c r="S26" s="5">
        <v>1408.6527777777778</v>
      </c>
      <c r="T26" s="5">
        <v>1720.6666666666667</v>
      </c>
      <c r="U26" s="5">
        <v>588.9027777777778</v>
      </c>
      <c r="V26" s="5">
        <v>429.94444444444446</v>
      </c>
      <c r="W26" s="5">
        <v>164.94444444444446</v>
      </c>
      <c r="X26" s="5">
        <v>65.98611111111111</v>
      </c>
      <c r="Y26" s="5">
        <v>3108.3611111111113</v>
      </c>
      <c r="Z26" s="5">
        <v>340</v>
      </c>
      <c r="AA26" s="5">
        <v>450.9861111111111</v>
      </c>
      <c r="AB26" s="5">
        <v>301.77777777777777</v>
      </c>
      <c r="AC26" s="5">
        <v>97.97222222222223</v>
      </c>
      <c r="AD26" s="5">
        <v>5817.763888888889</v>
      </c>
      <c r="AE26" s="5">
        <v>700.8611111111111</v>
      </c>
      <c r="AF26" s="5">
        <v>2047.611111111111</v>
      </c>
      <c r="AG26" s="5">
        <v>1282.7083333333335</v>
      </c>
      <c r="AH26" s="5">
        <v>347.9166666666667</v>
      </c>
      <c r="AI26" s="5">
        <v>5332.041666666667</v>
      </c>
      <c r="AJ26" s="5">
        <v>2902.4583333333335</v>
      </c>
      <c r="AK26" s="5">
        <v>1200.7222222222222</v>
      </c>
      <c r="AL26" s="5">
        <v>302.8888888888889</v>
      </c>
      <c r="AM26" s="5">
        <v>87</v>
      </c>
      <c r="AN26" s="5">
        <v>839.8472222222222</v>
      </c>
      <c r="AO26" s="5">
        <v>1119.8194444444443</v>
      </c>
      <c r="AP26" s="5">
        <v>7865.444444444444</v>
      </c>
      <c r="AQ26" s="5">
        <v>8890.291666666668</v>
      </c>
      <c r="AR26" s="5">
        <v>530.9027777777778</v>
      </c>
      <c r="AS26" s="5">
        <v>80.98611111111111</v>
      </c>
      <c r="AT26" s="5">
        <v>94</v>
      </c>
      <c r="AU26" s="5">
        <v>228.93055555555554</v>
      </c>
      <c r="AV26" s="5">
        <v>9825.111111111111</v>
      </c>
      <c r="AW26" s="5">
        <v>7262.652777777777</v>
      </c>
      <c r="AX26" s="5">
        <v>2170.5138888888887</v>
      </c>
      <c r="AY26" s="5">
        <v>47.986111111111114</v>
      </c>
      <c r="AZ26" s="5">
        <v>22</v>
      </c>
      <c r="BA26" s="5">
        <v>216.98611111111111</v>
      </c>
      <c r="BB26" s="5">
        <v>32.986111111111114</v>
      </c>
      <c r="BC26" s="5">
        <v>9825.111111111111</v>
      </c>
      <c r="BD26" s="5">
        <v>5700.194444444444</v>
      </c>
      <c r="BE26" s="5">
        <v>1276.6805555555557</v>
      </c>
      <c r="BF26" s="5">
        <v>1294.5</v>
      </c>
      <c r="BG26" s="5">
        <v>262.94444444444446</v>
      </c>
      <c r="BH26" s="5">
        <v>625.8888888888889</v>
      </c>
      <c r="BI26" s="5">
        <v>401.93055555555554</v>
      </c>
      <c r="BJ26" s="5">
        <v>242.97222222222223</v>
      </c>
      <c r="BK26" s="5">
        <v>20</v>
      </c>
      <c r="BL26" s="5">
        <v>9825.111111111111</v>
      </c>
      <c r="BM26" s="5">
        <v>3386.1805555555557</v>
      </c>
      <c r="BN26" s="5">
        <v>531.8333333333334</v>
      </c>
      <c r="BO26" s="5">
        <v>1626.7916666666667</v>
      </c>
      <c r="BP26" s="5">
        <v>16</v>
      </c>
      <c r="BQ26" s="5">
        <v>3201.4305555555557</v>
      </c>
      <c r="BR26" s="5">
        <v>944.9305555555555</v>
      </c>
      <c r="BS26" s="5">
        <v>9825.111111111111</v>
      </c>
      <c r="BT26" s="5">
        <v>6951.722222222223</v>
      </c>
      <c r="BU26" s="5">
        <v>2325.527777777778</v>
      </c>
      <c r="BV26" s="5">
        <v>64.98611111111111</v>
      </c>
      <c r="BW26" s="5">
        <v>38.97222222222222</v>
      </c>
      <c r="BX26" s="5">
        <v>22.98611111111111</v>
      </c>
      <c r="BY26" s="5">
        <v>190.93055555555554</v>
      </c>
      <c r="BZ26" s="5">
        <v>439.90277777777777</v>
      </c>
      <c r="CA26" s="5">
        <v>57.97222222222222</v>
      </c>
      <c r="CB26" s="5">
        <v>63.986111111111114</v>
      </c>
      <c r="CC26" s="5">
        <v>76</v>
      </c>
      <c r="CD26" s="5">
        <v>241.94444444444446</v>
      </c>
      <c r="CE26" s="5">
        <v>9526.125</v>
      </c>
      <c r="CF26" s="5">
        <v>9470.138888888889</v>
      </c>
      <c r="CG26" s="5">
        <v>47.986111111111114</v>
      </c>
      <c r="CH26" s="5">
        <v>8</v>
      </c>
      <c r="CI26" s="5">
        <v>2833.5833333333335</v>
      </c>
      <c r="CJ26" s="5">
        <v>5945.638888888889</v>
      </c>
      <c r="CK26" s="5">
        <v>1282.6944444444443</v>
      </c>
      <c r="CL26" s="5">
        <v>1976.763888888889</v>
      </c>
      <c r="CM26" s="5">
        <v>7377.416666666667</v>
      </c>
      <c r="CN26" s="5">
        <v>1051.8055555555557</v>
      </c>
      <c r="CO26" s="5">
        <v>2303.5</v>
      </c>
      <c r="CP26" s="5">
        <v>1360.7083333333335</v>
      </c>
      <c r="CQ26" s="5">
        <v>305.93055555555554</v>
      </c>
      <c r="CR26" s="5">
        <v>69.98611111111111</v>
      </c>
      <c r="CS26" s="5">
        <v>20</v>
      </c>
      <c r="CT26" s="5">
        <v>7377.416666666667</v>
      </c>
      <c r="CU26" s="5">
        <v>2265.4861111111113</v>
      </c>
      <c r="CV26" s="5">
        <v>1353.8055555555557</v>
      </c>
      <c r="CW26" s="5">
        <v>239.88888888888889</v>
      </c>
      <c r="CX26" s="5">
        <v>260.97222222222223</v>
      </c>
      <c r="CY26" s="5">
        <v>268.90277777777777</v>
      </c>
      <c r="CZ26" s="5">
        <v>141.91666666666669</v>
      </c>
      <c r="DA26" s="5">
        <v>305.93055555555554</v>
      </c>
      <c r="DB26" s="5">
        <v>67.97222222222223</v>
      </c>
      <c r="DC26" s="5">
        <v>84.97222222222223</v>
      </c>
      <c r="DD26" s="5">
        <v>12</v>
      </c>
      <c r="DE26" s="5">
        <v>4786</v>
      </c>
      <c r="DF26" s="5">
        <v>371.93055555555554</v>
      </c>
      <c r="DG26" s="5">
        <v>1076.763888888889</v>
      </c>
      <c r="DH26" s="5">
        <v>761.8472222222222</v>
      </c>
      <c r="DI26" s="5">
        <v>1624.6527777777778</v>
      </c>
      <c r="DJ26" s="5">
        <v>950.8055555555555</v>
      </c>
      <c r="DK26" s="5">
        <v>4786</v>
      </c>
      <c r="DL26" s="5">
        <v>318.93055555555554</v>
      </c>
      <c r="DM26" s="5">
        <v>46.97222222222222</v>
      </c>
      <c r="DN26" s="5">
        <v>162.98611111111111</v>
      </c>
      <c r="DO26" s="5">
        <v>26</v>
      </c>
      <c r="DP26" s="5">
        <v>42</v>
      </c>
      <c r="DQ26" s="5">
        <v>481.95833333333337</v>
      </c>
      <c r="DR26" s="5">
        <v>595.8333333333334</v>
      </c>
      <c r="DS26" s="5">
        <v>264.94444444444446</v>
      </c>
      <c r="DT26" s="5">
        <v>615.8888888888889</v>
      </c>
      <c r="DU26" s="5">
        <v>101.95833333333334</v>
      </c>
      <c r="DV26" s="5">
        <v>50</v>
      </c>
      <c r="DW26" s="5">
        <v>74.95833333333334</v>
      </c>
      <c r="DX26" s="5">
        <v>222.97222222222223</v>
      </c>
      <c r="DY26" s="5">
        <v>158.97222222222223</v>
      </c>
      <c r="DZ26" s="5">
        <v>217.93055555555554</v>
      </c>
      <c r="EA26" s="5">
        <v>469.93055555555554</v>
      </c>
      <c r="EB26" s="5">
        <v>683.8055555555555</v>
      </c>
      <c r="EC26" s="5">
        <v>249.95833333333334</v>
      </c>
      <c r="ED26" s="5">
        <v>4786</v>
      </c>
      <c r="EE26" s="5">
        <v>602.8472222222222</v>
      </c>
      <c r="EF26" s="5">
        <v>725.875</v>
      </c>
      <c r="EG26" s="5">
        <v>444.81944444444446</v>
      </c>
      <c r="EH26" s="5">
        <v>418.9166666666667</v>
      </c>
      <c r="EI26" s="5">
        <v>947.8611111111111</v>
      </c>
      <c r="EJ26" s="5">
        <v>510.84722222222223</v>
      </c>
      <c r="EK26" s="5">
        <v>290.95833333333337</v>
      </c>
      <c r="EL26" s="5">
        <v>310.9166666666667</v>
      </c>
      <c r="EM26" s="5">
        <v>532.9583333333334</v>
      </c>
      <c r="EN26" s="5">
        <v>8201.319444444445</v>
      </c>
      <c r="EO26" s="5">
        <v>1897.736111111111</v>
      </c>
      <c r="EP26" s="5">
        <v>1775.5694444444443</v>
      </c>
      <c r="EQ26" s="5">
        <v>1262.8055555555557</v>
      </c>
      <c r="ER26" s="5">
        <v>685.8055555555555</v>
      </c>
      <c r="ES26" s="5">
        <v>2579.402777777778</v>
      </c>
      <c r="ET26" s="11">
        <v>5354.958333333334</v>
      </c>
      <c r="EU26" s="11">
        <v>4379.097222222223</v>
      </c>
      <c r="EV26" s="11">
        <v>975.8611111111111</v>
      </c>
      <c r="EW26" s="11">
        <v>872.9027777777778</v>
      </c>
      <c r="EX26" s="11">
        <v>102.95833333333334</v>
      </c>
      <c r="EY26" s="11">
        <v>4379.097222222223</v>
      </c>
      <c r="EZ26" s="11">
        <v>2945.3333333333335</v>
      </c>
      <c r="FA26" s="11">
        <v>847.9444444444445</v>
      </c>
      <c r="FB26" s="11">
        <v>270</v>
      </c>
      <c r="FC26" s="11">
        <v>263.9861111111111</v>
      </c>
      <c r="FD26" s="11">
        <v>51.833333333333336</v>
      </c>
      <c r="FE26" s="11">
        <v>580.9444444444445</v>
      </c>
      <c r="FF26" s="11">
        <v>827.7083333333334</v>
      </c>
      <c r="FG26" s="11">
        <v>358.9166666666667</v>
      </c>
      <c r="FH26" s="11">
        <v>850.8611111111111</v>
      </c>
      <c r="FI26" s="11">
        <v>596.8888888888889</v>
      </c>
      <c r="FJ26" s="11">
        <v>237.95833333333334</v>
      </c>
      <c r="FK26" s="11">
        <v>211.91666666666669</v>
      </c>
      <c r="FL26" s="11">
        <v>138</v>
      </c>
      <c r="FM26" s="11">
        <v>20</v>
      </c>
      <c r="FN26" s="11">
        <v>200.95833333333334</v>
      </c>
      <c r="FO26" s="11">
        <v>139.98611111111111</v>
      </c>
      <c r="FP26" s="11">
        <v>57.986111111111114</v>
      </c>
      <c r="FQ26" s="11">
        <v>0</v>
      </c>
      <c r="FR26" s="11">
        <v>25</v>
      </c>
      <c r="FS26" s="11">
        <v>131.97222222222223</v>
      </c>
      <c r="FT26" s="11">
        <v>4379.097222222223</v>
      </c>
      <c r="FU26" s="11">
        <v>108.98611111111111</v>
      </c>
      <c r="FV26" s="11">
        <v>993.8333333333334</v>
      </c>
      <c r="FW26" s="11">
        <v>360.97222222222223</v>
      </c>
      <c r="FX26" s="11">
        <v>220.95833333333334</v>
      </c>
      <c r="FY26" s="11">
        <v>198.95833333333334</v>
      </c>
      <c r="FZ26" s="11">
        <v>78</v>
      </c>
      <c r="GA26" s="11">
        <v>46.97222222222222</v>
      </c>
      <c r="GB26" s="11">
        <v>73.98611111111111</v>
      </c>
      <c r="GC26" s="11">
        <v>263.95833333333337</v>
      </c>
      <c r="GD26" s="11">
        <v>316.9861111111111</v>
      </c>
      <c r="GE26" s="11">
        <v>421.9166666666667</v>
      </c>
      <c r="GF26" s="11">
        <v>1267.8333333333335</v>
      </c>
      <c r="GG26" s="11">
        <v>1015.8472222222222</v>
      </c>
      <c r="GH26" s="11">
        <v>4</v>
      </c>
      <c r="GI26" s="11">
        <v>95</v>
      </c>
      <c r="GJ26" s="11">
        <v>62</v>
      </c>
      <c r="GK26" s="11">
        <v>57</v>
      </c>
      <c r="GL26" s="11">
        <v>33.986111111111114</v>
      </c>
      <c r="GM26" s="11">
        <v>6191.694444444444</v>
      </c>
      <c r="GN26" s="11">
        <v>1422.6805555555557</v>
      </c>
      <c r="GO26" s="11">
        <v>5</v>
      </c>
      <c r="GP26" s="11">
        <v>26.98611111111111</v>
      </c>
      <c r="GQ26" s="11">
        <v>715.6527777777778</v>
      </c>
      <c r="GR26" s="11">
        <v>27</v>
      </c>
      <c r="GS26" s="11">
        <v>2605.4444444444443</v>
      </c>
      <c r="GT26" s="11">
        <v>471.97222222222223</v>
      </c>
      <c r="GU26" s="11">
        <v>5</v>
      </c>
      <c r="GV26" s="11">
        <v>48</v>
      </c>
      <c r="GW26" s="11">
        <v>787.9583333333334</v>
      </c>
      <c r="GX26" s="11">
        <v>76</v>
      </c>
    </row>
    <row r="27" spans="1:206" ht="12.75">
      <c r="A27" s="5" t="s">
        <v>291</v>
      </c>
      <c r="B27" s="5">
        <v>685.026535</v>
      </c>
      <c r="C27" s="5">
        <v>8569.715737379976</v>
      </c>
      <c r="D27" s="5">
        <v>498.24366785167325</v>
      </c>
      <c r="E27" s="5">
        <v>1072.078129796937</v>
      </c>
      <c r="F27" s="5">
        <v>1217.4180992320169</v>
      </c>
      <c r="G27" s="5">
        <v>1455.352893527524</v>
      </c>
      <c r="H27" s="5">
        <v>1931.2251663734655</v>
      </c>
      <c r="I27" s="5">
        <v>1679.5323233612485</v>
      </c>
      <c r="J27" s="5">
        <v>715.8654572371117</v>
      </c>
      <c r="K27" s="5">
        <v>1570.3217976486103</v>
      </c>
      <c r="L27" s="5">
        <v>5314.724152174683</v>
      </c>
      <c r="M27" s="5">
        <v>1684.669787556684</v>
      </c>
      <c r="N27" s="5">
        <v>4136.876362443221</v>
      </c>
      <c r="O27" s="5">
        <v>4432.839374936756</v>
      </c>
      <c r="P27" s="5">
        <v>8542.060564966185</v>
      </c>
      <c r="Q27" s="5">
        <v>27.655172413793103</v>
      </c>
      <c r="R27" s="5">
        <v>3814.9857553775455</v>
      </c>
      <c r="S27" s="5">
        <v>1180.3253279855162</v>
      </c>
      <c r="T27" s="5">
        <v>1461.276812217728</v>
      </c>
      <c r="U27" s="5">
        <v>540.7335752062534</v>
      </c>
      <c r="V27" s="5">
        <v>425.3528659681526</v>
      </c>
      <c r="W27" s="5">
        <v>147.17972264044573</v>
      </c>
      <c r="X27" s="5">
        <v>60.117451359449504</v>
      </c>
      <c r="Y27" s="5">
        <v>2491.2372902698207</v>
      </c>
      <c r="Z27" s="5">
        <v>593.4651271649243</v>
      </c>
      <c r="AA27" s="5">
        <v>199.52921606533187</v>
      </c>
      <c r="AB27" s="5">
        <v>345.31091698611647</v>
      </c>
      <c r="AC27" s="5">
        <v>122.99222449919542</v>
      </c>
      <c r="AD27" s="5">
        <v>4918.959838619003</v>
      </c>
      <c r="AE27" s="5">
        <v>720.7858083806193</v>
      </c>
      <c r="AF27" s="5">
        <v>1724.692099141173</v>
      </c>
      <c r="AG27" s="5">
        <v>1023.7867290677643</v>
      </c>
      <c r="AH27" s="5">
        <v>345.721118787989</v>
      </c>
      <c r="AI27" s="5">
        <v>4457.706463837118</v>
      </c>
      <c r="AJ27" s="5">
        <v>2573.0048969383906</v>
      </c>
      <c r="AK27" s="5">
        <v>1081.8908841440684</v>
      </c>
      <c r="AL27" s="5">
        <v>344.1359546935071</v>
      </c>
      <c r="AM27" s="5">
        <v>112.97753776689385</v>
      </c>
      <c r="AN27" s="5">
        <v>796.6982568048102</v>
      </c>
      <c r="AO27" s="5">
        <v>965.1809250920049</v>
      </c>
      <c r="AP27" s="5">
        <v>6807.836555483162</v>
      </c>
      <c r="AQ27" s="5">
        <v>7722.908570393802</v>
      </c>
      <c r="AR27" s="5">
        <v>468.4348026236336</v>
      </c>
      <c r="AS27" s="5">
        <v>79.58403480980577</v>
      </c>
      <c r="AT27" s="5">
        <v>58.152662260786165</v>
      </c>
      <c r="AU27" s="5">
        <v>240.6356672919489</v>
      </c>
      <c r="AV27" s="5">
        <v>8569.715737379976</v>
      </c>
      <c r="AW27" s="5">
        <v>6906.693934298366</v>
      </c>
      <c r="AX27" s="5">
        <v>1325.0852929600605</v>
      </c>
      <c r="AY27" s="5">
        <v>50.49400650948638</v>
      </c>
      <c r="AZ27" s="5">
        <v>101.47590561648389</v>
      </c>
      <c r="BA27" s="5">
        <v>108.89733540316274</v>
      </c>
      <c r="BB27" s="5">
        <v>25.93220338983051</v>
      </c>
      <c r="BC27" s="5">
        <v>8569.715737379976</v>
      </c>
      <c r="BD27" s="5">
        <v>5370.6611611950875</v>
      </c>
      <c r="BE27" s="5">
        <v>860.0029067249366</v>
      </c>
      <c r="BF27" s="5">
        <v>1281.1134381767906</v>
      </c>
      <c r="BG27" s="5">
        <v>183.03694848722017</v>
      </c>
      <c r="BH27" s="5">
        <v>419.2545358943877</v>
      </c>
      <c r="BI27" s="5">
        <v>259.7137633124174</v>
      </c>
      <c r="BJ27" s="5">
        <v>173.74313269415077</v>
      </c>
      <c r="BK27" s="5">
        <v>22.189850894985945</v>
      </c>
      <c r="BL27" s="5">
        <v>8569.715737379976</v>
      </c>
      <c r="BM27" s="5">
        <v>3380.1913276875594</v>
      </c>
      <c r="BN27" s="5">
        <v>412.3747841588548</v>
      </c>
      <c r="BO27" s="5">
        <v>805.2603763932735</v>
      </c>
      <c r="BP27" s="5">
        <v>5.985709538052509</v>
      </c>
      <c r="BQ27" s="5">
        <v>3176.444882672472</v>
      </c>
      <c r="BR27" s="5">
        <v>726.3758183312225</v>
      </c>
      <c r="BS27" s="5">
        <v>8569.715737379976</v>
      </c>
      <c r="BT27" s="5">
        <v>6654.144460239274</v>
      </c>
      <c r="BU27" s="5">
        <v>1457.8725959030164</v>
      </c>
      <c r="BV27" s="5">
        <v>44.73327325947144</v>
      </c>
      <c r="BW27" s="5">
        <v>49.26296354085401</v>
      </c>
      <c r="BX27" s="5">
        <v>31.602245893897255</v>
      </c>
      <c r="BY27" s="5">
        <v>185.30929580841914</v>
      </c>
      <c r="BZ27" s="5">
        <v>363.7024444373613</v>
      </c>
      <c r="CA27" s="5">
        <v>37.49551345962114</v>
      </c>
      <c r="CB27" s="5">
        <v>76.72589129164231</v>
      </c>
      <c r="CC27" s="5">
        <v>59.79634659240669</v>
      </c>
      <c r="CD27" s="5">
        <v>189.68469309369115</v>
      </c>
      <c r="CE27" s="5">
        <v>8293.704230739306</v>
      </c>
      <c r="CF27" s="5">
        <v>8210.890304701326</v>
      </c>
      <c r="CG27" s="5">
        <v>72.8308751905204</v>
      </c>
      <c r="CH27" s="5">
        <v>9.983050847457626</v>
      </c>
      <c r="CI27" s="5">
        <v>287.2752366475426</v>
      </c>
      <c r="CJ27" s="5">
        <v>7913.179008416604</v>
      </c>
      <c r="CK27" s="5">
        <v>1718.6743083142958</v>
      </c>
      <c r="CL27" s="5">
        <v>360.7894156425043</v>
      </c>
      <c r="CM27" s="5">
        <v>6283.5284824942555</v>
      </c>
      <c r="CN27" s="5">
        <v>904.50723097124</v>
      </c>
      <c r="CO27" s="5">
        <v>2174.347436261646</v>
      </c>
      <c r="CP27" s="5">
        <v>743.9686476890238</v>
      </c>
      <c r="CQ27" s="5">
        <v>293.1650830931284</v>
      </c>
      <c r="CR27" s="5">
        <v>80.66222116376915</v>
      </c>
      <c r="CS27" s="5">
        <v>21.983050847457626</v>
      </c>
      <c r="CT27" s="5">
        <v>6283.5284824942555</v>
      </c>
      <c r="CU27" s="5">
        <v>2064.8948124679896</v>
      </c>
      <c r="CV27" s="5">
        <v>1115.7891323934102</v>
      </c>
      <c r="CW27" s="5">
        <v>182.80416180839956</v>
      </c>
      <c r="CX27" s="5">
        <v>342.89969841046917</v>
      </c>
      <c r="CY27" s="5">
        <v>314.13576033962426</v>
      </c>
      <c r="CZ27" s="5">
        <v>109.26605951608622</v>
      </c>
      <c r="DA27" s="5">
        <v>293.1650830931284</v>
      </c>
      <c r="DB27" s="5">
        <v>99.24351446567738</v>
      </c>
      <c r="DC27" s="5">
        <v>55.450980392156865</v>
      </c>
      <c r="DD27" s="5">
        <v>40.831749759795024</v>
      </c>
      <c r="DE27" s="5">
        <v>3903.485536085679</v>
      </c>
      <c r="DF27" s="5">
        <v>267.5894527780612</v>
      </c>
      <c r="DG27" s="5">
        <v>889.3285212072842</v>
      </c>
      <c r="DH27" s="5">
        <v>559.9999310087792</v>
      </c>
      <c r="DI27" s="5">
        <v>1426.3892262437407</v>
      </c>
      <c r="DJ27" s="5">
        <v>760.178404847814</v>
      </c>
      <c r="DK27" s="5">
        <v>3903.485536085679</v>
      </c>
      <c r="DL27" s="5">
        <v>215.46064064774356</v>
      </c>
      <c r="DM27" s="5">
        <v>81.19623585384198</v>
      </c>
      <c r="DN27" s="5">
        <v>293.6294028241489</v>
      </c>
      <c r="DO27" s="5">
        <v>13.413793103448276</v>
      </c>
      <c r="DP27" s="5">
        <v>40.35897435897436</v>
      </c>
      <c r="DQ27" s="5">
        <v>461.5016569260064</v>
      </c>
      <c r="DR27" s="5">
        <v>571.7988246624082</v>
      </c>
      <c r="DS27" s="5">
        <v>190.89802522257787</v>
      </c>
      <c r="DT27" s="5">
        <v>299.3297569713494</v>
      </c>
      <c r="DU27" s="5">
        <v>109.82020215123627</v>
      </c>
      <c r="DV27" s="5">
        <v>42.141941990121595</v>
      </c>
      <c r="DW27" s="5">
        <v>46.468324469562134</v>
      </c>
      <c r="DX27" s="5">
        <v>219.87564849775677</v>
      </c>
      <c r="DY27" s="5">
        <v>177.4680829306951</v>
      </c>
      <c r="DZ27" s="5">
        <v>179.93265440775724</v>
      </c>
      <c r="EA27" s="5">
        <v>326.24840829551925</v>
      </c>
      <c r="EB27" s="5">
        <v>464.6533597123841</v>
      </c>
      <c r="EC27" s="5">
        <v>169.28960306014807</v>
      </c>
      <c r="ED27" s="5">
        <v>3903.485536085679</v>
      </c>
      <c r="EE27" s="5">
        <v>335.2891727349479</v>
      </c>
      <c r="EF27" s="5">
        <v>489.95353118827705</v>
      </c>
      <c r="EG27" s="5">
        <v>391.1175520857039</v>
      </c>
      <c r="EH27" s="5">
        <v>409.42942228273535</v>
      </c>
      <c r="EI27" s="5">
        <v>796.3084863330805</v>
      </c>
      <c r="EJ27" s="5">
        <v>401.3201145783182</v>
      </c>
      <c r="EK27" s="5">
        <v>324.6412672262889</v>
      </c>
      <c r="EL27" s="5">
        <v>325.60670169676183</v>
      </c>
      <c r="EM27" s="5">
        <v>429.8192879595658</v>
      </c>
      <c r="EN27" s="5">
        <v>6999.393939731367</v>
      </c>
      <c r="EO27" s="5">
        <v>1921.0372580429867</v>
      </c>
      <c r="EP27" s="5">
        <v>1816.629405097565</v>
      </c>
      <c r="EQ27" s="5">
        <v>1005.947150358687</v>
      </c>
      <c r="ER27" s="5">
        <v>642.5326946704213</v>
      </c>
      <c r="ES27" s="5">
        <v>1613.2474315617064</v>
      </c>
      <c r="ET27" s="11">
        <v>4102.819090079568</v>
      </c>
      <c r="EU27" s="11">
        <v>3814.9857553775455</v>
      </c>
      <c r="EV27" s="11">
        <v>287.8333347020226</v>
      </c>
      <c r="EW27" s="11">
        <v>140.90162408674206</v>
      </c>
      <c r="EX27" s="11">
        <v>146.9317106152806</v>
      </c>
      <c r="EY27" s="11">
        <v>3814.9857553775455</v>
      </c>
      <c r="EZ27" s="11">
        <v>1776.0704696836015</v>
      </c>
      <c r="FA27" s="11">
        <v>1092.1571974012347</v>
      </c>
      <c r="FB27" s="11">
        <v>657.6103074739669</v>
      </c>
      <c r="FC27" s="11">
        <v>282.1477808187425</v>
      </c>
      <c r="FD27" s="11">
        <v>7</v>
      </c>
      <c r="FE27" s="11">
        <v>538.2935421479988</v>
      </c>
      <c r="FF27" s="11">
        <v>642.0317858375174</v>
      </c>
      <c r="FG27" s="11">
        <v>374.40714201571376</v>
      </c>
      <c r="FH27" s="11">
        <v>638.9192146674129</v>
      </c>
      <c r="FI27" s="11">
        <v>518.1237611099875</v>
      </c>
      <c r="FJ27" s="11">
        <v>213.1632587462611</v>
      </c>
      <c r="FK27" s="11">
        <v>176.48426079201084</v>
      </c>
      <c r="FL27" s="11">
        <v>175.79566428918372</v>
      </c>
      <c r="FM27" s="11">
        <v>21.278566599053413</v>
      </c>
      <c r="FN27" s="11">
        <v>241.0394572715378</v>
      </c>
      <c r="FO27" s="11">
        <v>123.61765459821383</v>
      </c>
      <c r="FP27" s="11">
        <v>45.79503399615477</v>
      </c>
      <c r="FQ27" s="11">
        <v>0</v>
      </c>
      <c r="FR27" s="11">
        <v>12.03921568627451</v>
      </c>
      <c r="FS27" s="11">
        <v>93.99719762022508</v>
      </c>
      <c r="FT27" s="11">
        <v>3814.9857553775455</v>
      </c>
      <c r="FU27" s="11">
        <v>149.3785822021116</v>
      </c>
      <c r="FV27" s="11">
        <v>980.7539166668639</v>
      </c>
      <c r="FW27" s="11">
        <v>392.5041670558152</v>
      </c>
      <c r="FX27" s="11">
        <v>249.08224045811284</v>
      </c>
      <c r="FY27" s="11">
        <v>241.0394572715378</v>
      </c>
      <c r="FZ27" s="11">
        <v>90.529847703852</v>
      </c>
      <c r="GA27" s="11">
        <v>48.50960956768579</v>
      </c>
      <c r="GB27" s="11">
        <v>102</v>
      </c>
      <c r="GC27" s="11">
        <v>222.8838489417967</v>
      </c>
      <c r="GD27" s="11">
        <v>315.40969320620206</v>
      </c>
      <c r="GE27" s="11">
        <v>385.45576403090973</v>
      </c>
      <c r="GF27" s="11">
        <v>1153.4360810258509</v>
      </c>
      <c r="GG27" s="11">
        <v>857.6311514059432</v>
      </c>
      <c r="GH27" s="11">
        <v>2.019607843137255</v>
      </c>
      <c r="GI27" s="11">
        <v>134.77276746242262</v>
      </c>
      <c r="GJ27" s="11">
        <v>47.431372549019606</v>
      </c>
      <c r="GK27" s="11">
        <v>62.90196078431373</v>
      </c>
      <c r="GL27" s="11">
        <v>48.67922098101433</v>
      </c>
      <c r="GM27" s="11">
        <v>5177.647934738296</v>
      </c>
      <c r="GN27" s="11">
        <v>782.8768065017105</v>
      </c>
      <c r="GO27" s="11">
        <v>1.9830508474576272</v>
      </c>
      <c r="GP27" s="11">
        <v>93.34251181028093</v>
      </c>
      <c r="GQ27" s="11">
        <v>429.21390707119184</v>
      </c>
      <c r="GR27" s="11">
        <v>19.058823529411764</v>
      </c>
      <c r="GS27" s="11">
        <v>2325.314744583783</v>
      </c>
      <c r="GT27" s="11">
        <v>499.62342030634795</v>
      </c>
      <c r="GU27" s="11">
        <v>7.888107607003551</v>
      </c>
      <c r="GV27" s="11">
        <v>67.73684210526315</v>
      </c>
      <c r="GW27" s="11">
        <v>848.3057926133183</v>
      </c>
      <c r="GX27" s="11">
        <v>102.30392776252657</v>
      </c>
    </row>
    <row r="28" spans="1:206" ht="12.75">
      <c r="A28" s="5" t="s">
        <v>292</v>
      </c>
      <c r="B28" s="5">
        <v>770.988865</v>
      </c>
      <c r="C28" s="5">
        <v>13623.983977455717</v>
      </c>
      <c r="D28" s="5">
        <v>673.8732385435284</v>
      </c>
      <c r="E28" s="5">
        <v>1623.0419518618794</v>
      </c>
      <c r="F28" s="5">
        <v>2068.817886783104</v>
      </c>
      <c r="G28" s="5">
        <v>2447.593560250807</v>
      </c>
      <c r="H28" s="5">
        <v>3106.418060053205</v>
      </c>
      <c r="I28" s="5">
        <v>2475.960007196239</v>
      </c>
      <c r="J28" s="5">
        <v>1228.279272766954</v>
      </c>
      <c r="K28" s="5">
        <v>2296.915190405408</v>
      </c>
      <c r="L28" s="5">
        <v>8550.840544613733</v>
      </c>
      <c r="M28" s="5">
        <v>2776.228242436576</v>
      </c>
      <c r="N28" s="5">
        <v>6706.875451534509</v>
      </c>
      <c r="O28" s="5">
        <v>6917.108525921207</v>
      </c>
      <c r="P28" s="5">
        <v>13520.983977455717</v>
      </c>
      <c r="Q28" s="5">
        <v>103</v>
      </c>
      <c r="R28" s="5">
        <v>6252.692467395728</v>
      </c>
      <c r="S28" s="5">
        <v>2067.521505105201</v>
      </c>
      <c r="T28" s="5">
        <v>2343.236450425581</v>
      </c>
      <c r="U28" s="5">
        <v>923.53514168333</v>
      </c>
      <c r="V28" s="5">
        <v>668.097316894056</v>
      </c>
      <c r="W28" s="5">
        <v>195.81744085222346</v>
      </c>
      <c r="X28" s="5">
        <v>54.48461243533707</v>
      </c>
      <c r="Y28" s="5">
        <v>4246.617394548554</v>
      </c>
      <c r="Z28" s="5">
        <v>843.1689918776875</v>
      </c>
      <c r="AA28" s="5">
        <v>533.7857142857142</v>
      </c>
      <c r="AB28" s="5">
        <v>441.11172087440207</v>
      </c>
      <c r="AC28" s="5">
        <v>109.77491181657848</v>
      </c>
      <c r="AD28" s="5">
        <v>7631.41328635133</v>
      </c>
      <c r="AE28" s="5">
        <v>1431.3428220464452</v>
      </c>
      <c r="AF28" s="5">
        <v>2820.413354627123</v>
      </c>
      <c r="AG28" s="5">
        <v>1479.5652728377368</v>
      </c>
      <c r="AH28" s="5">
        <v>521.3710178844237</v>
      </c>
      <c r="AI28" s="5">
        <v>7114.709385045979</v>
      </c>
      <c r="AJ28" s="5">
        <v>4242.98732149493</v>
      </c>
      <c r="AK28" s="5">
        <v>1693.2911058613959</v>
      </c>
      <c r="AL28" s="5">
        <v>448.2972669037886</v>
      </c>
      <c r="AM28" s="5">
        <v>124.69889814962278</v>
      </c>
      <c r="AN28" s="5">
        <v>1095.1625182117937</v>
      </c>
      <c r="AO28" s="5">
        <v>1494.443626019713</v>
      </c>
      <c r="AP28" s="5">
        <v>11034.377833224211</v>
      </c>
      <c r="AQ28" s="5">
        <v>12365.116759274006</v>
      </c>
      <c r="AR28" s="5">
        <v>705.9818318557449</v>
      </c>
      <c r="AS28" s="5">
        <v>148.5032908047401</v>
      </c>
      <c r="AT28" s="5">
        <v>98.02777777777777</v>
      </c>
      <c r="AU28" s="5">
        <v>306.3543177434482</v>
      </c>
      <c r="AV28" s="5">
        <v>13623.983977455717</v>
      </c>
      <c r="AW28" s="5">
        <v>11462.362379743176</v>
      </c>
      <c r="AX28" s="5">
        <v>1820.5191005585932</v>
      </c>
      <c r="AY28" s="5">
        <v>37.60355152094283</v>
      </c>
      <c r="AZ28" s="5">
        <v>51</v>
      </c>
      <c r="BA28" s="5">
        <v>141.73792270531402</v>
      </c>
      <c r="BB28" s="5">
        <v>46.98765432098766</v>
      </c>
      <c r="BC28" s="5">
        <v>13623.983977455717</v>
      </c>
      <c r="BD28" s="5">
        <v>8611.254900668306</v>
      </c>
      <c r="BE28" s="5">
        <v>1210.2316274707578</v>
      </c>
      <c r="BF28" s="5">
        <v>2377.1348895200344</v>
      </c>
      <c r="BG28" s="5">
        <v>265.19146316646317</v>
      </c>
      <c r="BH28" s="5">
        <v>596.3565378126973</v>
      </c>
      <c r="BI28" s="5">
        <v>370.58077689889285</v>
      </c>
      <c r="BJ28" s="5">
        <v>176.23378191856452</v>
      </c>
      <c r="BK28" s="5">
        <v>17</v>
      </c>
      <c r="BL28" s="5">
        <v>13623.983977455717</v>
      </c>
      <c r="BM28" s="5">
        <v>5589.931931246425</v>
      </c>
      <c r="BN28" s="5">
        <v>532.9812860917934</v>
      </c>
      <c r="BO28" s="5">
        <v>902.683251785788</v>
      </c>
      <c r="BP28" s="5">
        <v>19</v>
      </c>
      <c r="BQ28" s="5">
        <v>5476.199758011714</v>
      </c>
      <c r="BR28" s="5">
        <v>997.5007535406086</v>
      </c>
      <c r="BS28" s="5">
        <v>13623.983977455717</v>
      </c>
      <c r="BT28" s="5">
        <v>11170.148771773047</v>
      </c>
      <c r="BU28" s="5">
        <v>1980.5407531277096</v>
      </c>
      <c r="BV28" s="5">
        <v>55.57142857142857</v>
      </c>
      <c r="BW28" s="5">
        <v>46.8687152353819</v>
      </c>
      <c r="BX28" s="5">
        <v>17.710144927536234</v>
      </c>
      <c r="BY28" s="5">
        <v>158.30935127674258</v>
      </c>
      <c r="BZ28" s="5">
        <v>366.8543087481494</v>
      </c>
      <c r="CA28" s="5">
        <v>42.710144927536234</v>
      </c>
      <c r="CB28" s="5">
        <v>69</v>
      </c>
      <c r="CC28" s="5">
        <v>65.02777777777777</v>
      </c>
      <c r="CD28" s="5">
        <v>190.1163860428353</v>
      </c>
      <c r="CE28" s="5">
        <v>13223.37813906437</v>
      </c>
      <c r="CF28" s="5">
        <v>13127.37813906437</v>
      </c>
      <c r="CG28" s="5">
        <v>85</v>
      </c>
      <c r="CH28" s="5">
        <v>11</v>
      </c>
      <c r="CI28" s="5">
        <v>170.39714170692432</v>
      </c>
      <c r="CJ28" s="5">
        <v>12947.859416160865</v>
      </c>
      <c r="CK28" s="5">
        <v>3916.0800928137883</v>
      </c>
      <c r="CL28" s="5">
        <v>398.10786793721576</v>
      </c>
      <c r="CM28" s="5">
        <v>10098.789514283355</v>
      </c>
      <c r="CN28" s="5">
        <v>1462.8018381377078</v>
      </c>
      <c r="CO28" s="5">
        <v>4132.608907262893</v>
      </c>
      <c r="CP28" s="5">
        <v>870.8211859932874</v>
      </c>
      <c r="CQ28" s="5">
        <v>439.22757354025475</v>
      </c>
      <c r="CR28" s="5">
        <v>138.28900509045437</v>
      </c>
      <c r="CS28" s="5">
        <v>31.78725749559083</v>
      </c>
      <c r="CT28" s="5">
        <v>10098.789514283355</v>
      </c>
      <c r="CU28" s="5">
        <v>3023.253746763167</v>
      </c>
      <c r="CV28" s="5">
        <v>1736.6850680988364</v>
      </c>
      <c r="CW28" s="5">
        <v>350.3725873428772</v>
      </c>
      <c r="CX28" s="5">
        <v>396.5447620817186</v>
      </c>
      <c r="CY28" s="5">
        <v>371.4954272914418</v>
      </c>
      <c r="CZ28" s="5">
        <v>168.15590194829326</v>
      </c>
      <c r="DA28" s="5">
        <v>439.22757354025475</v>
      </c>
      <c r="DB28" s="5">
        <v>125.82047934620398</v>
      </c>
      <c r="DC28" s="5">
        <v>106.39559849704777</v>
      </c>
      <c r="DD28" s="5">
        <v>48</v>
      </c>
      <c r="DE28" s="5">
        <v>6604.520936484342</v>
      </c>
      <c r="DF28" s="5">
        <v>462.54481000749115</v>
      </c>
      <c r="DG28" s="5">
        <v>1324.2864381860759</v>
      </c>
      <c r="DH28" s="5">
        <v>1218.6024773937816</v>
      </c>
      <c r="DI28" s="5">
        <v>2665.6499449959592</v>
      </c>
      <c r="DJ28" s="5">
        <v>933.437265901034</v>
      </c>
      <c r="DK28" s="5">
        <v>6604.520936484342</v>
      </c>
      <c r="DL28" s="5">
        <v>333.12538473335576</v>
      </c>
      <c r="DM28" s="5">
        <v>103.20686650976506</v>
      </c>
      <c r="DN28" s="5">
        <v>440.9240661110226</v>
      </c>
      <c r="DO28" s="5">
        <v>133.96702706847634</v>
      </c>
      <c r="DP28" s="5">
        <v>382.0721217992957</v>
      </c>
      <c r="DQ28" s="5">
        <v>504.2625912064318</v>
      </c>
      <c r="DR28" s="5">
        <v>811.1010553992438</v>
      </c>
      <c r="DS28" s="5">
        <v>274.7038246241145</v>
      </c>
      <c r="DT28" s="5">
        <v>409.5654279697758</v>
      </c>
      <c r="DU28" s="5">
        <v>229.49740242312706</v>
      </c>
      <c r="DV28" s="5">
        <v>80.29546238785369</v>
      </c>
      <c r="DW28" s="5">
        <v>50.773368606701936</v>
      </c>
      <c r="DX28" s="5">
        <v>517.3012799867872</v>
      </c>
      <c r="DY28" s="5">
        <v>279.4034391534392</v>
      </c>
      <c r="DZ28" s="5">
        <v>618.5723741100553</v>
      </c>
      <c r="EA28" s="5">
        <v>523.3258467378032</v>
      </c>
      <c r="EB28" s="5">
        <v>698.6339037237587</v>
      </c>
      <c r="EC28" s="5">
        <v>213.7894939333345</v>
      </c>
      <c r="ED28" s="5">
        <v>6604.520936484342</v>
      </c>
      <c r="EE28" s="5">
        <v>512.4928618617025</v>
      </c>
      <c r="EF28" s="5">
        <v>1025.570599971687</v>
      </c>
      <c r="EG28" s="5">
        <v>888.7885765603157</v>
      </c>
      <c r="EH28" s="5">
        <v>582.1143218429451</v>
      </c>
      <c r="EI28" s="5">
        <v>1203.2855196333458</v>
      </c>
      <c r="EJ28" s="5">
        <v>617.9827204733001</v>
      </c>
      <c r="EK28" s="5">
        <v>541.4793053564792</v>
      </c>
      <c r="EL28" s="5">
        <v>552.7897174886305</v>
      </c>
      <c r="EM28" s="5">
        <v>680.0173132959364</v>
      </c>
      <c r="EN28" s="5">
        <v>11327.068787050308</v>
      </c>
      <c r="EO28" s="5">
        <v>3114.8943674682805</v>
      </c>
      <c r="EP28" s="5">
        <v>2796.9580134841003</v>
      </c>
      <c r="EQ28" s="5">
        <v>1527.6564863477906</v>
      </c>
      <c r="ER28" s="5">
        <v>1414.3253381347586</v>
      </c>
      <c r="ES28" s="5">
        <v>2473.2345816153784</v>
      </c>
      <c r="ET28" s="11">
        <v>6548.733977308253</v>
      </c>
      <c r="EU28" s="11">
        <v>6252.692467395728</v>
      </c>
      <c r="EV28" s="11">
        <v>296.04150991252436</v>
      </c>
      <c r="EW28" s="11">
        <v>132.15975577026302</v>
      </c>
      <c r="EX28" s="11">
        <v>163.8817541422614</v>
      </c>
      <c r="EY28" s="11">
        <v>6250.692467395728</v>
      </c>
      <c r="EZ28" s="11">
        <v>2173.3524194404627</v>
      </c>
      <c r="FA28" s="11">
        <v>2336.6607548382913</v>
      </c>
      <c r="FB28" s="11">
        <v>1169.7661092530657</v>
      </c>
      <c r="FC28" s="11">
        <v>563.1076923076923</v>
      </c>
      <c r="FD28" s="11">
        <v>7.805491556216194</v>
      </c>
      <c r="FE28" s="11">
        <v>838.4135573900066</v>
      </c>
      <c r="FF28" s="11">
        <v>1229.107947715194</v>
      </c>
      <c r="FG28" s="11">
        <v>626.3763283549515</v>
      </c>
      <c r="FH28" s="11">
        <v>925.1391146561436</v>
      </c>
      <c r="FI28" s="11">
        <v>855.7803865619084</v>
      </c>
      <c r="FJ28" s="11">
        <v>359.8003854706753</v>
      </c>
      <c r="FK28" s="11">
        <v>325.0387490930969</v>
      </c>
      <c r="FL28" s="11">
        <v>265.0634725982552</v>
      </c>
      <c r="FM28" s="11">
        <v>30.77336860670194</v>
      </c>
      <c r="FN28" s="11">
        <v>352.6035515209428</v>
      </c>
      <c r="FO28" s="11">
        <v>212.83229813664596</v>
      </c>
      <c r="FP28" s="11">
        <v>76.00154320987654</v>
      </c>
      <c r="FQ28" s="11">
        <v>8.710144927536232</v>
      </c>
      <c r="FR28" s="11">
        <v>22.710144927536234</v>
      </c>
      <c r="FS28" s="11">
        <v>124.34147422625682</v>
      </c>
      <c r="FT28" s="11">
        <v>6252.692467395728</v>
      </c>
      <c r="FU28" s="11">
        <v>166.60355152094283</v>
      </c>
      <c r="FV28" s="11">
        <v>1549.448953890983</v>
      </c>
      <c r="FW28" s="11">
        <v>553.3978853674505</v>
      </c>
      <c r="FX28" s="11">
        <v>334.43751408280394</v>
      </c>
      <c r="FY28" s="11">
        <v>350.6035515209428</v>
      </c>
      <c r="FZ28" s="11">
        <v>138</v>
      </c>
      <c r="GA28" s="11">
        <v>92.60355152094283</v>
      </c>
      <c r="GB28" s="11">
        <v>120</v>
      </c>
      <c r="GC28" s="11">
        <v>354.8718461892375</v>
      </c>
      <c r="GD28" s="11">
        <v>483.5417112007692</v>
      </c>
      <c r="GE28" s="11">
        <v>656.7375615661848</v>
      </c>
      <c r="GF28" s="11">
        <v>1854.0718392584336</v>
      </c>
      <c r="GG28" s="11">
        <v>1403.144073277769</v>
      </c>
      <c r="GH28" s="11">
        <v>1</v>
      </c>
      <c r="GI28" s="11">
        <v>247.16365663322185</v>
      </c>
      <c r="GJ28" s="11">
        <v>97</v>
      </c>
      <c r="GK28" s="11">
        <v>59.76256613756613</v>
      </c>
      <c r="GL28" s="11">
        <v>46.001543209876544</v>
      </c>
      <c r="GM28" s="11">
        <v>8628.815437702395</v>
      </c>
      <c r="GN28" s="11">
        <v>1144.4947156305852</v>
      </c>
      <c r="GO28" s="11">
        <v>2</v>
      </c>
      <c r="GP28" s="11">
        <v>63.256882140940114</v>
      </c>
      <c r="GQ28" s="11">
        <v>954.8444444444445</v>
      </c>
      <c r="GR28" s="11">
        <v>51.773368606701936</v>
      </c>
      <c r="GS28" s="11">
        <v>3560.8111336730904</v>
      </c>
      <c r="GT28" s="11">
        <v>896.1504282352108</v>
      </c>
      <c r="GU28" s="11">
        <v>35.107692307692304</v>
      </c>
      <c r="GV28" s="11">
        <v>75.72403381642512</v>
      </c>
      <c r="GW28" s="11">
        <v>1670.818370612211</v>
      </c>
      <c r="GX28" s="11">
        <v>173.83436823509288</v>
      </c>
    </row>
    <row r="29" spans="1:206" ht="12.75">
      <c r="A29" s="5" t="s">
        <v>293</v>
      </c>
      <c r="B29" s="5">
        <v>2002.237737</v>
      </c>
      <c r="C29" s="5">
        <v>3480.2275559126474</v>
      </c>
      <c r="D29" s="5">
        <v>150.0433072674452</v>
      </c>
      <c r="E29" s="5">
        <v>449.2680756532177</v>
      </c>
      <c r="F29" s="5">
        <v>410.9103918393979</v>
      </c>
      <c r="G29" s="5">
        <v>585.8814756913134</v>
      </c>
      <c r="H29" s="5">
        <v>894.4818405901063</v>
      </c>
      <c r="I29" s="5">
        <v>674.8802234783474</v>
      </c>
      <c r="J29" s="5">
        <v>314.7622413928195</v>
      </c>
      <c r="K29" s="5">
        <v>599.3113829206628</v>
      </c>
      <c r="L29" s="5">
        <v>2183.4655443440943</v>
      </c>
      <c r="M29" s="5">
        <v>697.4506286478904</v>
      </c>
      <c r="N29" s="5">
        <v>1725.3682971018163</v>
      </c>
      <c r="O29" s="5">
        <v>1754.8592588108306</v>
      </c>
      <c r="P29" s="5">
        <v>3399.683031471571</v>
      </c>
      <c r="Q29" s="5">
        <v>80.54452444107616</v>
      </c>
      <c r="R29" s="5">
        <v>1569.4926773699592</v>
      </c>
      <c r="S29" s="5">
        <v>538.0056850688189</v>
      </c>
      <c r="T29" s="5">
        <v>585.3345310031416</v>
      </c>
      <c r="U29" s="5">
        <v>206.225887618129</v>
      </c>
      <c r="V29" s="5">
        <v>160.17705595621416</v>
      </c>
      <c r="W29" s="5">
        <v>55.8974358974359</v>
      </c>
      <c r="X29" s="5">
        <v>23.85208182621976</v>
      </c>
      <c r="Y29" s="5">
        <v>1083.6989400896603</v>
      </c>
      <c r="Z29" s="5">
        <v>147.17859870015042</v>
      </c>
      <c r="AA29" s="5">
        <v>106.0344827586207</v>
      </c>
      <c r="AB29" s="5">
        <v>130.07196995026612</v>
      </c>
      <c r="AC29" s="5">
        <v>69.30124380352575</v>
      </c>
      <c r="AD29" s="5">
        <v>1967.9360339626567</v>
      </c>
      <c r="AE29" s="5">
        <v>276.93808946293734</v>
      </c>
      <c r="AF29" s="5">
        <v>780.0282609547315</v>
      </c>
      <c r="AG29" s="5">
        <v>393.0794346795868</v>
      </c>
      <c r="AH29" s="5">
        <v>119.44689227270364</v>
      </c>
      <c r="AI29" s="5">
        <v>1869.8849788649486</v>
      </c>
      <c r="AJ29" s="5">
        <v>1075.2605907446173</v>
      </c>
      <c r="AK29" s="5">
        <v>393.89957523882475</v>
      </c>
      <c r="AL29" s="5">
        <v>104.19517272788065</v>
      </c>
      <c r="AM29" s="5">
        <v>36.987238336376265</v>
      </c>
      <c r="AN29" s="5">
        <v>276.8645137823637</v>
      </c>
      <c r="AO29" s="5">
        <v>367.7062197437451</v>
      </c>
      <c r="AP29" s="5">
        <v>2835.6568223865384</v>
      </c>
      <c r="AQ29" s="5">
        <v>3153.4232832752105</v>
      </c>
      <c r="AR29" s="5">
        <v>224.24822776952595</v>
      </c>
      <c r="AS29" s="5">
        <v>23.83512337898748</v>
      </c>
      <c r="AT29" s="5">
        <v>16.080329153605014</v>
      </c>
      <c r="AU29" s="5">
        <v>62.6405923353185</v>
      </c>
      <c r="AV29" s="5">
        <v>3480.2275559126474</v>
      </c>
      <c r="AW29" s="5">
        <v>2436.4788853810155</v>
      </c>
      <c r="AX29" s="5">
        <v>827.5615629299707</v>
      </c>
      <c r="AY29" s="5">
        <v>41.601107226107224</v>
      </c>
      <c r="AZ29" s="5">
        <v>26</v>
      </c>
      <c r="BA29" s="5">
        <v>109.13663348146108</v>
      </c>
      <c r="BB29" s="5">
        <v>20</v>
      </c>
      <c r="BC29" s="5">
        <v>3480.2275559126474</v>
      </c>
      <c r="BD29" s="5">
        <v>1908.6335677507077</v>
      </c>
      <c r="BE29" s="5">
        <v>462.1145690009788</v>
      </c>
      <c r="BF29" s="5">
        <v>447.0081248197374</v>
      </c>
      <c r="BG29" s="5">
        <v>108.9900229925585</v>
      </c>
      <c r="BH29" s="5">
        <v>234.71692919994135</v>
      </c>
      <c r="BI29" s="5">
        <v>158.28509286521458</v>
      </c>
      <c r="BJ29" s="5">
        <v>145.86601194613363</v>
      </c>
      <c r="BK29" s="5">
        <v>14.613237337375269</v>
      </c>
      <c r="BL29" s="5">
        <v>3480.2275559126474</v>
      </c>
      <c r="BM29" s="5">
        <v>960.9665989858688</v>
      </c>
      <c r="BN29" s="5">
        <v>201.7722109702333</v>
      </c>
      <c r="BO29" s="5">
        <v>497.43689027335074</v>
      </c>
      <c r="BP29" s="5">
        <v>4</v>
      </c>
      <c r="BQ29" s="5">
        <v>1371.7960144993615</v>
      </c>
      <c r="BR29" s="5">
        <v>400.5872841661381</v>
      </c>
      <c r="BS29" s="5">
        <v>3480.2275559126474</v>
      </c>
      <c r="BT29" s="5">
        <v>2282.0566478822057</v>
      </c>
      <c r="BU29" s="5">
        <v>869.5095906460003</v>
      </c>
      <c r="BV29" s="5">
        <v>37.49294831267448</v>
      </c>
      <c r="BW29" s="5">
        <v>30.840718189856123</v>
      </c>
      <c r="BX29" s="5">
        <v>18.806235431235432</v>
      </c>
      <c r="BY29" s="5">
        <v>105.21457996026962</v>
      </c>
      <c r="BZ29" s="5">
        <v>260.32765088191053</v>
      </c>
      <c r="CA29" s="5">
        <v>37.8974358974359</v>
      </c>
      <c r="CB29" s="5">
        <v>34.36312968640554</v>
      </c>
      <c r="CC29" s="5">
        <v>59.24920194747781</v>
      </c>
      <c r="CD29" s="5">
        <v>128.81788335059127</v>
      </c>
      <c r="CE29" s="5">
        <v>3395.0363304714215</v>
      </c>
      <c r="CF29" s="5">
        <v>3372.443131918791</v>
      </c>
      <c r="CG29" s="5">
        <v>19.39712012125805</v>
      </c>
      <c r="CH29" s="5">
        <v>3.196078431372549</v>
      </c>
      <c r="CI29" s="5">
        <v>291.9744719445531</v>
      </c>
      <c r="CJ29" s="5">
        <v>2978.5479555941015</v>
      </c>
      <c r="CK29" s="5">
        <v>577.1769749013664</v>
      </c>
      <c r="CL29" s="5">
        <v>300.7165658884726</v>
      </c>
      <c r="CM29" s="5">
        <v>2566.153931599165</v>
      </c>
      <c r="CN29" s="5">
        <v>383.70282776722945</v>
      </c>
      <c r="CO29" s="5">
        <v>811.526021561265</v>
      </c>
      <c r="CP29" s="5">
        <v>565.975274303114</v>
      </c>
      <c r="CQ29" s="5">
        <v>94.42484974457591</v>
      </c>
      <c r="CR29" s="5">
        <v>23.21880570409982</v>
      </c>
      <c r="CS29" s="5">
        <v>2.0113636363636362</v>
      </c>
      <c r="CT29" s="5">
        <v>2566.153931599165</v>
      </c>
      <c r="CU29" s="5">
        <v>685.2947888825171</v>
      </c>
      <c r="CV29" s="5">
        <v>423.45126416855624</v>
      </c>
      <c r="CW29" s="5">
        <v>80.01146411060203</v>
      </c>
      <c r="CX29" s="5">
        <v>75.07088753031958</v>
      </c>
      <c r="CY29" s="5">
        <v>70.11341388496561</v>
      </c>
      <c r="CZ29" s="5">
        <v>36.647759188073586</v>
      </c>
      <c r="DA29" s="5">
        <v>94.42484974457591</v>
      </c>
      <c r="DB29" s="5">
        <v>22.738528712666643</v>
      </c>
      <c r="DC29" s="5">
        <v>25.558715794009913</v>
      </c>
      <c r="DD29" s="5">
        <v>5.0344827586206895</v>
      </c>
      <c r="DE29" s="5">
        <v>1784.4229293357082</v>
      </c>
      <c r="DF29" s="5">
        <v>152.74723864708653</v>
      </c>
      <c r="DG29" s="5">
        <v>397.1069551645109</v>
      </c>
      <c r="DH29" s="5">
        <v>255.81466690848032</v>
      </c>
      <c r="DI29" s="5">
        <v>601.5744743761984</v>
      </c>
      <c r="DJ29" s="5">
        <v>377.179594239432</v>
      </c>
      <c r="DK29" s="5">
        <v>1784.4229293357082</v>
      </c>
      <c r="DL29" s="5">
        <v>187.15151388503318</v>
      </c>
      <c r="DM29" s="5">
        <v>10.683632543926663</v>
      </c>
      <c r="DN29" s="5">
        <v>76.39761244502623</v>
      </c>
      <c r="DO29" s="5">
        <v>9.045846394984327</v>
      </c>
      <c r="DP29" s="5">
        <v>24.681318681318682</v>
      </c>
      <c r="DQ29" s="5">
        <v>191.57189700090308</v>
      </c>
      <c r="DR29" s="5">
        <v>227.02406231361604</v>
      </c>
      <c r="DS29" s="5">
        <v>97.46794626941686</v>
      </c>
      <c r="DT29" s="5">
        <v>270.61219004119613</v>
      </c>
      <c r="DU29" s="5">
        <v>31.64772009599596</v>
      </c>
      <c r="DV29" s="5">
        <v>21.931918656056588</v>
      </c>
      <c r="DW29" s="5">
        <v>15.523181095442759</v>
      </c>
      <c r="DX29" s="5">
        <v>50.937021480885576</v>
      </c>
      <c r="DY29" s="5">
        <v>56.07998619028031</v>
      </c>
      <c r="DZ29" s="5">
        <v>76.35673673858258</v>
      </c>
      <c r="EA29" s="5">
        <v>153.18407615035403</v>
      </c>
      <c r="EB29" s="5">
        <v>202.8493205577384</v>
      </c>
      <c r="EC29" s="5">
        <v>81.27694879495081</v>
      </c>
      <c r="ED29" s="5">
        <v>1784.4229293357082</v>
      </c>
      <c r="EE29" s="5">
        <v>244.17305623720432</v>
      </c>
      <c r="EF29" s="5">
        <v>210.90487994088397</v>
      </c>
      <c r="EG29" s="5">
        <v>151.0350587546328</v>
      </c>
      <c r="EH29" s="5">
        <v>152.20345915072082</v>
      </c>
      <c r="EI29" s="5">
        <v>420.27523397832726</v>
      </c>
      <c r="EJ29" s="5">
        <v>178.97688670356013</v>
      </c>
      <c r="EK29" s="5">
        <v>106.00770806272836</v>
      </c>
      <c r="EL29" s="5">
        <v>120.8788052718073</v>
      </c>
      <c r="EM29" s="5">
        <v>199.96784123584325</v>
      </c>
      <c r="EN29" s="5">
        <v>2880.9161729919842</v>
      </c>
      <c r="EO29" s="5">
        <v>622.678942845525</v>
      </c>
      <c r="EP29" s="5">
        <v>668.7477519944559</v>
      </c>
      <c r="EQ29" s="5">
        <v>460.9570665136081</v>
      </c>
      <c r="ER29" s="5">
        <v>236.69683409896393</v>
      </c>
      <c r="ES29" s="5">
        <v>891.8355775394315</v>
      </c>
      <c r="ET29" s="11">
        <v>1997.5497853228583</v>
      </c>
      <c r="EU29" s="11">
        <v>1569.4926773699592</v>
      </c>
      <c r="EV29" s="11">
        <v>428.057107952899</v>
      </c>
      <c r="EW29" s="11">
        <v>373.70020462971775</v>
      </c>
      <c r="EX29" s="11">
        <v>54.356903323181214</v>
      </c>
      <c r="EY29" s="11">
        <v>1567.4926773699592</v>
      </c>
      <c r="EZ29" s="11">
        <v>830.2423527284076</v>
      </c>
      <c r="FA29" s="11">
        <v>445.0547111779363</v>
      </c>
      <c r="FB29" s="11">
        <v>129.20298092711886</v>
      </c>
      <c r="FC29" s="11">
        <v>147.5565196297955</v>
      </c>
      <c r="FD29" s="11">
        <v>15.436112906701142</v>
      </c>
      <c r="FE29" s="11">
        <v>237.27389893743847</v>
      </c>
      <c r="FF29" s="11">
        <v>300.73178613138043</v>
      </c>
      <c r="FG29" s="11">
        <v>135.06298898869892</v>
      </c>
      <c r="FH29" s="11">
        <v>274.2098775126159</v>
      </c>
      <c r="FI29" s="11">
        <v>214.1286215474856</v>
      </c>
      <c r="FJ29" s="11">
        <v>66.40860145601525</v>
      </c>
      <c r="FK29" s="11">
        <v>71.3073450383288</v>
      </c>
      <c r="FL29" s="11">
        <v>62.49891774891775</v>
      </c>
      <c r="FM29" s="11">
        <v>7.080329153605016</v>
      </c>
      <c r="FN29" s="11">
        <v>84.5611301308563</v>
      </c>
      <c r="FO29" s="11">
        <v>43.83743724159546</v>
      </c>
      <c r="FP29" s="11">
        <v>20.863445462583396</v>
      </c>
      <c r="FQ29" s="11">
        <v>0</v>
      </c>
      <c r="FR29" s="11">
        <v>8.196078431372548</v>
      </c>
      <c r="FS29" s="11">
        <v>43.332219589065424</v>
      </c>
      <c r="FT29" s="11">
        <v>1569.4926773699592</v>
      </c>
      <c r="FU29" s="11">
        <v>30.715409590409593</v>
      </c>
      <c r="FV29" s="11">
        <v>382.05211488984304</v>
      </c>
      <c r="FW29" s="11">
        <v>122.12314409728202</v>
      </c>
      <c r="FX29" s="11">
        <v>80.51028138528139</v>
      </c>
      <c r="FY29" s="11">
        <v>84.5611301308563</v>
      </c>
      <c r="FZ29" s="11">
        <v>32.52164502164503</v>
      </c>
      <c r="GA29" s="11">
        <v>32.33543915516532</v>
      </c>
      <c r="GB29" s="11">
        <v>19.704045954045956</v>
      </c>
      <c r="GC29" s="11">
        <v>97.43012194026393</v>
      </c>
      <c r="GD29" s="11">
        <v>139.8437769971746</v>
      </c>
      <c r="GE29" s="11">
        <v>151.91846439564492</v>
      </c>
      <c r="GF29" s="11">
        <v>464.3926244478983</v>
      </c>
      <c r="GG29" s="11">
        <v>355.11033776905987</v>
      </c>
      <c r="GH29" s="11">
        <v>1</v>
      </c>
      <c r="GI29" s="11">
        <v>48.397120121258055</v>
      </c>
      <c r="GJ29" s="11">
        <v>18</v>
      </c>
      <c r="GK29" s="11">
        <v>20.908799533799534</v>
      </c>
      <c r="GL29" s="11">
        <v>20.97636702378082</v>
      </c>
      <c r="GM29" s="11">
        <v>2318.5177543045193</v>
      </c>
      <c r="GN29" s="11">
        <v>567.7976145727159</v>
      </c>
      <c r="GO29" s="11">
        <v>1</v>
      </c>
      <c r="GP29" s="11">
        <v>22.59062776304156</v>
      </c>
      <c r="GQ29" s="11">
        <v>211.68154419954624</v>
      </c>
      <c r="GR29" s="11">
        <v>4.681318681318682</v>
      </c>
      <c r="GS29" s="11">
        <v>773.9149141933118</v>
      </c>
      <c r="GT29" s="11">
        <v>150.69011186582182</v>
      </c>
      <c r="GU29" s="11">
        <v>2.6813186813186816</v>
      </c>
      <c r="GV29" s="11">
        <v>56.70367132867133</v>
      </c>
      <c r="GW29" s="11">
        <v>491.9328344914045</v>
      </c>
      <c r="GX29" s="11">
        <v>34.843798527368506</v>
      </c>
    </row>
    <row r="30" spans="1:206" ht="12.75">
      <c r="A30" s="5" t="s">
        <v>294</v>
      </c>
      <c r="B30" s="5">
        <v>1050.101106</v>
      </c>
      <c r="C30" s="5">
        <v>12862.016022544285</v>
      </c>
      <c r="D30" s="5">
        <v>706.1267614564716</v>
      </c>
      <c r="E30" s="5">
        <v>1553.9580481381206</v>
      </c>
      <c r="F30" s="5">
        <v>2027.182113216896</v>
      </c>
      <c r="G30" s="5">
        <v>2252.4064397491934</v>
      </c>
      <c r="H30" s="5">
        <v>2916.581939946795</v>
      </c>
      <c r="I30" s="5">
        <v>2388.039992803761</v>
      </c>
      <c r="J30" s="5">
        <v>1017.7207272330461</v>
      </c>
      <c r="K30" s="5">
        <v>2260.084809594592</v>
      </c>
      <c r="L30" s="5">
        <v>8207.159455386267</v>
      </c>
      <c r="M30" s="5">
        <v>2394.771757563424</v>
      </c>
      <c r="N30" s="5">
        <v>6396.124548465491</v>
      </c>
      <c r="O30" s="5">
        <v>6465.891474078793</v>
      </c>
      <c r="P30" s="5">
        <v>12731.016022544285</v>
      </c>
      <c r="Q30" s="5">
        <v>131</v>
      </c>
      <c r="R30" s="5">
        <v>5772.307532604272</v>
      </c>
      <c r="S30" s="5">
        <v>1925.4784948947993</v>
      </c>
      <c r="T30" s="5">
        <v>2084.763549574419</v>
      </c>
      <c r="U30" s="5">
        <v>827.46485831667</v>
      </c>
      <c r="V30" s="5">
        <v>606.902683105944</v>
      </c>
      <c r="W30" s="5">
        <v>259.18255914777654</v>
      </c>
      <c r="X30" s="5">
        <v>68.51538756466292</v>
      </c>
      <c r="Y30" s="5">
        <v>3870.3826054514457</v>
      </c>
      <c r="Z30" s="5">
        <v>1175.8310081223126</v>
      </c>
      <c r="AA30" s="5">
        <v>155.21428571428572</v>
      </c>
      <c r="AB30" s="5">
        <v>362.888279125598</v>
      </c>
      <c r="AC30" s="5">
        <v>145.22508818342152</v>
      </c>
      <c r="AD30" s="5">
        <v>6693.58671364867</v>
      </c>
      <c r="AE30" s="5">
        <v>1454.6571779535548</v>
      </c>
      <c r="AF30" s="5">
        <v>2595.5866453728772</v>
      </c>
      <c r="AG30" s="5">
        <v>1294.4347271622632</v>
      </c>
      <c r="AH30" s="5">
        <v>427.6289821155763</v>
      </c>
      <c r="AI30" s="5">
        <v>6646.290614954021</v>
      </c>
      <c r="AJ30" s="5">
        <v>3830.0126785050697</v>
      </c>
      <c r="AK30" s="5">
        <v>1688.7088941386041</v>
      </c>
      <c r="AL30" s="5">
        <v>517.7027330962114</v>
      </c>
      <c r="AM30" s="5">
        <v>179.3011018503772</v>
      </c>
      <c r="AN30" s="5">
        <v>1219.8374817882063</v>
      </c>
      <c r="AO30" s="5">
        <v>1430.556373980287</v>
      </c>
      <c r="AP30" s="5">
        <v>10211.62216677579</v>
      </c>
      <c r="AQ30" s="5">
        <v>11562.883240725994</v>
      </c>
      <c r="AR30" s="5">
        <v>737.0181681442551</v>
      </c>
      <c r="AS30" s="5">
        <v>103.49670919525991</v>
      </c>
      <c r="AT30" s="5">
        <v>112.97222222222223</v>
      </c>
      <c r="AU30" s="5">
        <v>345.6456822565519</v>
      </c>
      <c r="AV30" s="5">
        <v>12862.016022544285</v>
      </c>
      <c r="AW30" s="5">
        <v>10843.637620256824</v>
      </c>
      <c r="AX30" s="5">
        <v>1669.4808994414068</v>
      </c>
      <c r="AY30" s="5">
        <v>46.39644847905718</v>
      </c>
      <c r="AZ30" s="5">
        <v>78</v>
      </c>
      <c r="BA30" s="5">
        <v>95.262077294686</v>
      </c>
      <c r="BB30" s="5">
        <v>63.01234567901234</v>
      </c>
      <c r="BC30" s="5">
        <v>12862.016022544285</v>
      </c>
      <c r="BD30" s="5">
        <v>8710.745099331694</v>
      </c>
      <c r="BE30" s="5">
        <v>1009.7683725292421</v>
      </c>
      <c r="BF30" s="5">
        <v>1807.8651104799653</v>
      </c>
      <c r="BG30" s="5">
        <v>187.80853683353683</v>
      </c>
      <c r="BH30" s="5">
        <v>642.6434621873027</v>
      </c>
      <c r="BI30" s="5">
        <v>322.4192231011072</v>
      </c>
      <c r="BJ30" s="5">
        <v>168.76621808143548</v>
      </c>
      <c r="BK30" s="5">
        <v>12</v>
      </c>
      <c r="BL30" s="5">
        <v>12862.016022544285</v>
      </c>
      <c r="BM30" s="5">
        <v>5569.068068753575</v>
      </c>
      <c r="BN30" s="5">
        <v>415.0187139082066</v>
      </c>
      <c r="BO30" s="5">
        <v>852.316748214212</v>
      </c>
      <c r="BP30" s="5">
        <v>26</v>
      </c>
      <c r="BQ30" s="5">
        <v>4961.800241988285</v>
      </c>
      <c r="BR30" s="5">
        <v>948.4992464593914</v>
      </c>
      <c r="BS30" s="5">
        <v>12862.016022544285</v>
      </c>
      <c r="BT30" s="5">
        <v>10590.851228226953</v>
      </c>
      <c r="BU30" s="5">
        <v>1788.4592468722904</v>
      </c>
      <c r="BV30" s="5">
        <v>80.42857142857143</v>
      </c>
      <c r="BW30" s="5">
        <v>54.1312847646181</v>
      </c>
      <c r="BX30" s="5">
        <v>19.289855072463766</v>
      </c>
      <c r="BY30" s="5">
        <v>161.69064872325742</v>
      </c>
      <c r="BZ30" s="5">
        <v>346.1456912518507</v>
      </c>
      <c r="CA30" s="5">
        <v>33.289855072463766</v>
      </c>
      <c r="CB30" s="5">
        <v>58</v>
      </c>
      <c r="CC30" s="5">
        <v>68.97222222222223</v>
      </c>
      <c r="CD30" s="5">
        <v>185.8836139571647</v>
      </c>
      <c r="CE30" s="5">
        <v>12446.62186093563</v>
      </c>
      <c r="CF30" s="5">
        <v>12315.62186093563</v>
      </c>
      <c r="CG30" s="5">
        <v>112</v>
      </c>
      <c r="CH30" s="5">
        <v>19</v>
      </c>
      <c r="CI30" s="5">
        <v>111.60285829307568</v>
      </c>
      <c r="CJ30" s="5">
        <v>12256.140583839135</v>
      </c>
      <c r="CK30" s="5">
        <v>3864.9199071862117</v>
      </c>
      <c r="CL30" s="5">
        <v>387.89213206278424</v>
      </c>
      <c r="CM30" s="5">
        <v>9584.210485716645</v>
      </c>
      <c r="CN30" s="5">
        <v>1536.1981618622922</v>
      </c>
      <c r="CO30" s="5">
        <v>3438.3910927371076</v>
      </c>
      <c r="CP30" s="5">
        <v>985.1788140067126</v>
      </c>
      <c r="CQ30" s="5">
        <v>468.77242645974525</v>
      </c>
      <c r="CR30" s="5">
        <v>119.71099490954563</v>
      </c>
      <c r="CS30" s="5">
        <v>43.21274250440918</v>
      </c>
      <c r="CT30" s="5">
        <v>9584.210485716645</v>
      </c>
      <c r="CU30" s="5">
        <v>2992.746253236833</v>
      </c>
      <c r="CV30" s="5">
        <v>1622.3149319011636</v>
      </c>
      <c r="CW30" s="5">
        <v>269.6274126571228</v>
      </c>
      <c r="CX30" s="5">
        <v>414.4552379182814</v>
      </c>
      <c r="CY30" s="5">
        <v>474.5045727085582</v>
      </c>
      <c r="CZ30" s="5">
        <v>211.84409805170677</v>
      </c>
      <c r="DA30" s="5">
        <v>468.77242645974525</v>
      </c>
      <c r="DB30" s="5">
        <v>140.17952065379603</v>
      </c>
      <c r="DC30" s="5">
        <v>116.60440150295223</v>
      </c>
      <c r="DD30" s="5">
        <v>73</v>
      </c>
      <c r="DE30" s="5">
        <v>6079.479063515658</v>
      </c>
      <c r="DF30" s="5">
        <v>510.4551899925088</v>
      </c>
      <c r="DG30" s="5">
        <v>1354.7135618139241</v>
      </c>
      <c r="DH30" s="5">
        <v>1169.3975226062182</v>
      </c>
      <c r="DI30" s="5">
        <v>2062.3500550040408</v>
      </c>
      <c r="DJ30" s="5">
        <v>982.562734098966</v>
      </c>
      <c r="DK30" s="5">
        <v>6079.479063515658</v>
      </c>
      <c r="DL30" s="5">
        <v>372.8746152666443</v>
      </c>
      <c r="DM30" s="5">
        <v>125.79313349023495</v>
      </c>
      <c r="DN30" s="5">
        <v>350.0759338889774</v>
      </c>
      <c r="DO30" s="5">
        <v>62.03297293152365</v>
      </c>
      <c r="DP30" s="5">
        <v>210.92787820070427</v>
      </c>
      <c r="DQ30" s="5">
        <v>668.7374087935682</v>
      </c>
      <c r="DR30" s="5">
        <v>948.8989446007562</v>
      </c>
      <c r="DS30" s="5">
        <v>282.2961753758855</v>
      </c>
      <c r="DT30" s="5">
        <v>362.4345720302242</v>
      </c>
      <c r="DU30" s="5">
        <v>117.50259757687294</v>
      </c>
      <c r="DV30" s="5">
        <v>64.70453761214631</v>
      </c>
      <c r="DW30" s="5">
        <v>52.226631393298064</v>
      </c>
      <c r="DX30" s="5">
        <v>298.6987200132128</v>
      </c>
      <c r="DY30" s="5">
        <v>210.59656084656083</v>
      </c>
      <c r="DZ30" s="5">
        <v>393.42762588994475</v>
      </c>
      <c r="EA30" s="5">
        <v>395.67415326219674</v>
      </c>
      <c r="EB30" s="5">
        <v>960.3660962762413</v>
      </c>
      <c r="EC30" s="5">
        <v>202.2105060666655</v>
      </c>
      <c r="ED30" s="5">
        <v>6079.479063515658</v>
      </c>
      <c r="EE30" s="5">
        <v>434.50713813829753</v>
      </c>
      <c r="EF30" s="5">
        <v>753.429400028313</v>
      </c>
      <c r="EG30" s="5">
        <v>591.2114234396843</v>
      </c>
      <c r="EH30" s="5">
        <v>576.8856781570549</v>
      </c>
      <c r="EI30" s="5">
        <v>1265.7144803666545</v>
      </c>
      <c r="EJ30" s="5">
        <v>643.0172795266998</v>
      </c>
      <c r="EK30" s="5">
        <v>538.5206946435208</v>
      </c>
      <c r="EL30" s="5">
        <v>540.2102825113695</v>
      </c>
      <c r="EM30" s="5">
        <v>735.9826867040636</v>
      </c>
      <c r="EN30" s="5">
        <v>10601.931212949692</v>
      </c>
      <c r="EO30" s="5">
        <v>3591.1056325317195</v>
      </c>
      <c r="EP30" s="5">
        <v>2709.0419865158997</v>
      </c>
      <c r="EQ30" s="5">
        <v>1423.3435136522094</v>
      </c>
      <c r="ER30" s="5">
        <v>962.6746618652417</v>
      </c>
      <c r="ES30" s="5">
        <v>1915.7654183846214</v>
      </c>
      <c r="ET30" s="11">
        <v>6259.266022691747</v>
      </c>
      <c r="EU30" s="11">
        <v>5772.307532604272</v>
      </c>
      <c r="EV30" s="11">
        <v>486.9584900874756</v>
      </c>
      <c r="EW30" s="11">
        <v>220.84024422973698</v>
      </c>
      <c r="EX30" s="11">
        <v>266.11824585773866</v>
      </c>
      <c r="EY30" s="11">
        <v>5772.307532604272</v>
      </c>
      <c r="EZ30" s="11">
        <v>2316.6475805595373</v>
      </c>
      <c r="FA30" s="11">
        <v>1634.3392451617087</v>
      </c>
      <c r="FB30" s="11">
        <v>1118.2338907469343</v>
      </c>
      <c r="FC30" s="11">
        <v>671.8923076923077</v>
      </c>
      <c r="FD30" s="11">
        <v>31.194508443783807</v>
      </c>
      <c r="FE30" s="11">
        <v>811.5864426099934</v>
      </c>
      <c r="FF30" s="11">
        <v>1113.892052284806</v>
      </c>
      <c r="FG30" s="11">
        <v>449.62367164504843</v>
      </c>
      <c r="FH30" s="11">
        <v>914.8608853438564</v>
      </c>
      <c r="FI30" s="11">
        <v>751.2196134380916</v>
      </c>
      <c r="FJ30" s="11">
        <v>352.1996145293247</v>
      </c>
      <c r="FK30" s="11">
        <v>262.9612509069031</v>
      </c>
      <c r="FL30" s="11">
        <v>269.9365274017448</v>
      </c>
      <c r="FM30" s="11">
        <v>37.22663139329806</v>
      </c>
      <c r="FN30" s="11">
        <v>335.3964484790572</v>
      </c>
      <c r="FO30" s="11">
        <v>233.16770186335404</v>
      </c>
      <c r="FP30" s="11">
        <v>79.99845679012346</v>
      </c>
      <c r="FQ30" s="11">
        <v>11.289855072463768</v>
      </c>
      <c r="FR30" s="11">
        <v>23.289855072463766</v>
      </c>
      <c r="FS30" s="11">
        <v>125.65852577374318</v>
      </c>
      <c r="FT30" s="11">
        <v>5772.307532604272</v>
      </c>
      <c r="FU30" s="11">
        <v>205.39644847905717</v>
      </c>
      <c r="FV30" s="11">
        <v>1436.551046109017</v>
      </c>
      <c r="FW30" s="11">
        <v>561.6021146325494</v>
      </c>
      <c r="FX30" s="11">
        <v>314.5624859171961</v>
      </c>
      <c r="FY30" s="11">
        <v>333.3964484790572</v>
      </c>
      <c r="FZ30" s="11">
        <v>128</v>
      </c>
      <c r="GA30" s="11">
        <v>68.39644847905717</v>
      </c>
      <c r="GB30" s="11">
        <v>137</v>
      </c>
      <c r="GC30" s="11">
        <v>357.1281538107625</v>
      </c>
      <c r="GD30" s="11">
        <v>454.4582887992308</v>
      </c>
      <c r="GE30" s="11">
        <v>491.2624384338152</v>
      </c>
      <c r="GF30" s="11">
        <v>1666.9281607415667</v>
      </c>
      <c r="GG30" s="11">
        <v>1195.855926722231</v>
      </c>
      <c r="GH30" s="11">
        <v>1</v>
      </c>
      <c r="GI30" s="11">
        <v>317.8363433667781</v>
      </c>
      <c r="GJ30" s="11">
        <v>26</v>
      </c>
      <c r="GK30" s="11">
        <v>66.23743386243387</v>
      </c>
      <c r="GL30" s="11">
        <v>59.998456790123456</v>
      </c>
      <c r="GM30" s="11">
        <v>7993.184562297605</v>
      </c>
      <c r="GN30" s="11">
        <v>1221.5052843694148</v>
      </c>
      <c r="GO30" s="11">
        <v>1</v>
      </c>
      <c r="GP30" s="11">
        <v>55.743117859059886</v>
      </c>
      <c r="GQ30" s="11">
        <v>942.1555555555555</v>
      </c>
      <c r="GR30" s="11">
        <v>51.226631393298064</v>
      </c>
      <c r="GS30" s="11">
        <v>3177.18886632691</v>
      </c>
      <c r="GT30" s="11">
        <v>787.8495717647892</v>
      </c>
      <c r="GU30" s="11">
        <v>16.892307692307693</v>
      </c>
      <c r="GV30" s="11">
        <v>53.27596618357488</v>
      </c>
      <c r="GW30" s="11">
        <v>1492.181629387789</v>
      </c>
      <c r="GX30" s="11">
        <v>194.16563176490712</v>
      </c>
    </row>
    <row r="31" spans="1:206" ht="12.75">
      <c r="A31" s="5" t="s">
        <v>1</v>
      </c>
      <c r="B31" s="5">
        <f>SUM(B2:B30)</f>
        <v>26073.208075000002</v>
      </c>
      <c r="C31" s="5">
        <v>232132.00000000003</v>
      </c>
      <c r="D31" s="5">
        <v>12705</v>
      </c>
      <c r="E31" s="5">
        <v>28693</v>
      </c>
      <c r="F31" s="5">
        <v>34805</v>
      </c>
      <c r="G31" s="5">
        <v>43325</v>
      </c>
      <c r="H31" s="5">
        <v>52600</v>
      </c>
      <c r="I31" s="5">
        <v>40827.00000000001</v>
      </c>
      <c r="J31" s="5">
        <v>19176.999999999993</v>
      </c>
      <c r="K31" s="5">
        <v>41398.00000000001</v>
      </c>
      <c r="L31" s="5">
        <v>147694</v>
      </c>
      <c r="M31" s="5">
        <v>43040</v>
      </c>
      <c r="N31" s="5">
        <v>113471</v>
      </c>
      <c r="O31" s="5">
        <v>118660.99999999997</v>
      </c>
      <c r="P31" s="5">
        <v>228363.99999999994</v>
      </c>
      <c r="Q31" s="5">
        <v>3768</v>
      </c>
      <c r="R31" s="5">
        <v>102091</v>
      </c>
      <c r="S31" s="5">
        <v>32378</v>
      </c>
      <c r="T31" s="5">
        <v>37460.00000000001</v>
      </c>
      <c r="U31" s="5">
        <v>15135.000000000004</v>
      </c>
      <c r="V31" s="5">
        <v>11740</v>
      </c>
      <c r="W31" s="5">
        <v>4061.9999999999995</v>
      </c>
      <c r="X31" s="5">
        <v>1316</v>
      </c>
      <c r="Y31" s="5">
        <v>68600.00000000001</v>
      </c>
      <c r="Z31" s="5">
        <v>13453</v>
      </c>
      <c r="AA31" s="5">
        <v>5865</v>
      </c>
      <c r="AB31" s="5">
        <v>10078.999999999998</v>
      </c>
      <c r="AC31" s="5">
        <v>2380</v>
      </c>
      <c r="AD31" s="5">
        <v>125509</v>
      </c>
      <c r="AE31" s="5">
        <v>21064.999999999996</v>
      </c>
      <c r="AF31" s="5">
        <v>47274</v>
      </c>
      <c r="AG31" s="5">
        <v>26088.999999999996</v>
      </c>
      <c r="AH31" s="5">
        <v>7663.000000000002</v>
      </c>
      <c r="AI31" s="5">
        <v>125630</v>
      </c>
      <c r="AJ31" s="5">
        <v>69406</v>
      </c>
      <c r="AK31" s="5">
        <v>26942</v>
      </c>
      <c r="AL31" s="5">
        <v>7805</v>
      </c>
      <c r="AM31" s="5">
        <v>2349</v>
      </c>
      <c r="AN31" s="5">
        <v>18767</v>
      </c>
      <c r="AO31" s="5">
        <v>24320</v>
      </c>
      <c r="AP31" s="5">
        <v>189045</v>
      </c>
      <c r="AQ31" s="5">
        <v>211139.00000000003</v>
      </c>
      <c r="AR31" s="5">
        <v>12281.999999999998</v>
      </c>
      <c r="AS31" s="5">
        <v>1801.0000000000002</v>
      </c>
      <c r="AT31" s="5">
        <v>1607</v>
      </c>
      <c r="AU31" s="5">
        <v>5303</v>
      </c>
      <c r="AV31" s="5">
        <v>232132.00000000003</v>
      </c>
      <c r="AW31" s="5">
        <v>185430</v>
      </c>
      <c r="AX31" s="5">
        <v>34135</v>
      </c>
      <c r="AY31" s="5">
        <v>1389</v>
      </c>
      <c r="AZ31" s="5">
        <v>3424.999999999999</v>
      </c>
      <c r="BA31" s="5">
        <v>4311</v>
      </c>
      <c r="BB31" s="5">
        <v>1865.9999999999998</v>
      </c>
      <c r="BC31" s="5">
        <v>232132.00000000003</v>
      </c>
      <c r="BD31" s="5">
        <v>142789</v>
      </c>
      <c r="BE31" s="5">
        <v>23584.000000000007</v>
      </c>
      <c r="BF31" s="5">
        <v>35193.99999999999</v>
      </c>
      <c r="BG31" s="5">
        <v>5372</v>
      </c>
      <c r="BH31" s="5">
        <v>10279.999999999998</v>
      </c>
      <c r="BI31" s="5">
        <v>6735.000000000001</v>
      </c>
      <c r="BJ31" s="5">
        <v>7592.999999999999</v>
      </c>
      <c r="BK31" s="5">
        <v>585</v>
      </c>
      <c r="BL31" s="5">
        <v>232132.00000000003</v>
      </c>
      <c r="BM31" s="5">
        <v>85550</v>
      </c>
      <c r="BN31" s="5">
        <v>17677</v>
      </c>
      <c r="BO31" s="5">
        <v>21235</v>
      </c>
      <c r="BP31" s="5">
        <v>691.0000000000001</v>
      </c>
      <c r="BQ31" s="5">
        <v>86640.99999999997</v>
      </c>
      <c r="BR31" s="5">
        <v>18441.999999999996</v>
      </c>
      <c r="BS31" s="5">
        <v>232132.00000000003</v>
      </c>
      <c r="BT31" s="5">
        <v>179271.00000000003</v>
      </c>
      <c r="BU31" s="5">
        <v>37058</v>
      </c>
      <c r="BV31" s="5">
        <v>1267.0000000000002</v>
      </c>
      <c r="BW31" s="5">
        <v>1318</v>
      </c>
      <c r="BX31" s="5">
        <v>681</v>
      </c>
      <c r="BY31" s="5">
        <v>6904.999999999997</v>
      </c>
      <c r="BZ31" s="5">
        <v>13172</v>
      </c>
      <c r="CA31" s="5">
        <v>1740</v>
      </c>
      <c r="CB31" s="5">
        <v>3103.0000000000005</v>
      </c>
      <c r="CC31" s="5">
        <v>2686</v>
      </c>
      <c r="CD31" s="5">
        <v>5643</v>
      </c>
      <c r="CE31" s="5">
        <v>224605.99999999994</v>
      </c>
      <c r="CF31" s="5">
        <v>221967</v>
      </c>
      <c r="CG31" s="5">
        <v>2285</v>
      </c>
      <c r="CH31" s="5">
        <v>354</v>
      </c>
      <c r="CI31" s="5">
        <v>12039.000000000004</v>
      </c>
      <c r="CJ31" s="5">
        <v>208009.99999999997</v>
      </c>
      <c r="CK31" s="5">
        <v>48451</v>
      </c>
      <c r="CL31" s="5">
        <v>15892.000000000002</v>
      </c>
      <c r="CM31" s="5">
        <v>171557</v>
      </c>
      <c r="CN31" s="5">
        <v>26000</v>
      </c>
      <c r="CO31" s="5">
        <v>67706</v>
      </c>
      <c r="CP31" s="5">
        <v>18925</v>
      </c>
      <c r="CQ31" s="5">
        <v>6817.000000000001</v>
      </c>
      <c r="CR31" s="5">
        <v>2639.0000000000005</v>
      </c>
      <c r="CS31" s="5">
        <v>558</v>
      </c>
      <c r="CT31" s="5">
        <v>171557</v>
      </c>
      <c r="CU31" s="5">
        <v>48911.99999999999</v>
      </c>
      <c r="CV31" s="5">
        <v>27496</v>
      </c>
      <c r="CW31" s="5">
        <v>5468</v>
      </c>
      <c r="CX31" s="5">
        <v>6437.999999999999</v>
      </c>
      <c r="CY31" s="5">
        <v>6610</v>
      </c>
      <c r="CZ31" s="5">
        <v>2899.9999999999995</v>
      </c>
      <c r="DA31" s="5">
        <v>6817.000000000001</v>
      </c>
      <c r="DB31" s="5">
        <v>1945</v>
      </c>
      <c r="DC31" s="5">
        <v>1560</v>
      </c>
      <c r="DD31" s="5">
        <v>631</v>
      </c>
      <c r="DE31" s="5">
        <v>115269.99999999999</v>
      </c>
      <c r="DF31" s="5">
        <v>8329</v>
      </c>
      <c r="DG31" s="5">
        <v>24660</v>
      </c>
      <c r="DH31" s="5">
        <v>20473.000000000004</v>
      </c>
      <c r="DI31" s="5">
        <v>43649</v>
      </c>
      <c r="DJ31" s="5">
        <v>18159</v>
      </c>
      <c r="DK31" s="5">
        <v>115269.99999999999</v>
      </c>
      <c r="DL31" s="5">
        <v>4978</v>
      </c>
      <c r="DM31" s="5">
        <v>1414</v>
      </c>
      <c r="DN31" s="5">
        <v>6603.000000000001</v>
      </c>
      <c r="DO31" s="5">
        <v>893</v>
      </c>
      <c r="DP31" s="5">
        <v>1515.0000000000002</v>
      </c>
      <c r="DQ31" s="5">
        <v>11278</v>
      </c>
      <c r="DR31" s="5">
        <v>17218.999999999996</v>
      </c>
      <c r="DS31" s="5">
        <v>5794</v>
      </c>
      <c r="DT31" s="5">
        <v>10533</v>
      </c>
      <c r="DU31" s="5">
        <v>2750.999999999999</v>
      </c>
      <c r="DV31" s="5">
        <v>1447</v>
      </c>
      <c r="DW31" s="5">
        <v>1536.9999999999998</v>
      </c>
      <c r="DX31" s="5">
        <v>5150.000000000001</v>
      </c>
      <c r="DY31" s="5">
        <v>4556.000000000001</v>
      </c>
      <c r="DZ31" s="5">
        <v>7655.000000000001</v>
      </c>
      <c r="EA31" s="5">
        <v>8735.999999999998</v>
      </c>
      <c r="EB31" s="5">
        <v>17520.999999999993</v>
      </c>
      <c r="EC31" s="5">
        <v>5690</v>
      </c>
      <c r="ED31" s="5">
        <v>115269.99999999999</v>
      </c>
      <c r="EE31" s="5">
        <v>11221.000000000002</v>
      </c>
      <c r="EF31" s="5">
        <v>16870.000000000004</v>
      </c>
      <c r="EG31" s="5">
        <v>12681</v>
      </c>
      <c r="EH31" s="5">
        <v>11176.999999999998</v>
      </c>
      <c r="EI31" s="5">
        <v>19505.000000000004</v>
      </c>
      <c r="EJ31" s="5">
        <v>11854</v>
      </c>
      <c r="EK31" s="5">
        <v>9402</v>
      </c>
      <c r="EL31" s="5">
        <v>9408</v>
      </c>
      <c r="EM31" s="5">
        <v>13152</v>
      </c>
      <c r="EN31" s="5">
        <v>190734</v>
      </c>
      <c r="EO31" s="5">
        <v>48624</v>
      </c>
      <c r="EP31" s="5">
        <v>46719.00000000001</v>
      </c>
      <c r="EQ31" s="5">
        <v>27454</v>
      </c>
      <c r="ER31" s="5">
        <v>17638.999999999996</v>
      </c>
      <c r="ES31" s="5">
        <v>50298</v>
      </c>
      <c r="ET31" s="11">
        <v>111440.00000000001</v>
      </c>
      <c r="EU31" s="11">
        <v>102091</v>
      </c>
      <c r="EV31" s="11">
        <v>9349</v>
      </c>
      <c r="EW31" s="11">
        <v>6355.999999999998</v>
      </c>
      <c r="EX31" s="11">
        <v>2993</v>
      </c>
      <c r="EY31" s="11">
        <v>102018</v>
      </c>
      <c r="EZ31" s="11">
        <v>43126</v>
      </c>
      <c r="FA31" s="11">
        <v>29139</v>
      </c>
      <c r="FB31" s="11">
        <v>15905.000000000002</v>
      </c>
      <c r="FC31" s="11">
        <v>13444.000000000002</v>
      </c>
      <c r="FD31" s="11">
        <v>404.00000000000006</v>
      </c>
      <c r="FE31" s="11">
        <v>13752</v>
      </c>
      <c r="FF31" s="11">
        <v>18626</v>
      </c>
      <c r="FG31" s="11">
        <v>8751</v>
      </c>
      <c r="FH31" s="11">
        <v>15551.999999999998</v>
      </c>
      <c r="FI31" s="11">
        <v>14490</v>
      </c>
      <c r="FJ31" s="11">
        <v>5764</v>
      </c>
      <c r="FK31" s="11">
        <v>5221.000000000002</v>
      </c>
      <c r="FL31" s="11">
        <v>4381</v>
      </c>
      <c r="FM31" s="11">
        <v>554.9999999999999</v>
      </c>
      <c r="FN31" s="11">
        <v>6279.999999999998</v>
      </c>
      <c r="FO31" s="11">
        <v>3571.0000000000005</v>
      </c>
      <c r="FP31" s="11">
        <v>1581</v>
      </c>
      <c r="FQ31" s="11">
        <v>64</v>
      </c>
      <c r="FR31" s="11">
        <v>358</v>
      </c>
      <c r="FS31" s="11">
        <v>3145.0000000000005</v>
      </c>
      <c r="FT31" s="11">
        <v>102091</v>
      </c>
      <c r="FU31" s="11">
        <v>3036</v>
      </c>
      <c r="FV31" s="11">
        <v>26732</v>
      </c>
      <c r="FW31" s="11">
        <v>10109</v>
      </c>
      <c r="FX31" s="11">
        <v>5759</v>
      </c>
      <c r="FY31" s="11">
        <v>6260.999999999998</v>
      </c>
      <c r="FZ31" s="11">
        <v>2482.9999999999995</v>
      </c>
      <c r="GA31" s="11">
        <v>1564</v>
      </c>
      <c r="GB31" s="11">
        <v>2214</v>
      </c>
      <c r="GC31" s="11">
        <v>5911</v>
      </c>
      <c r="GD31" s="11">
        <v>7841</v>
      </c>
      <c r="GE31" s="11">
        <v>9880</v>
      </c>
      <c r="GF31" s="11">
        <v>28664.000000000004</v>
      </c>
      <c r="GG31" s="11">
        <v>21446.999999999996</v>
      </c>
      <c r="GH31" s="11">
        <v>97</v>
      </c>
      <c r="GI31" s="11">
        <v>3735</v>
      </c>
      <c r="GJ31" s="11">
        <v>1252</v>
      </c>
      <c r="GK31" s="11">
        <v>1276.0000000000002</v>
      </c>
      <c r="GL31" s="11">
        <v>856.9999999999999</v>
      </c>
      <c r="GM31" s="11">
        <v>150420.99999999997</v>
      </c>
      <c r="GN31" s="11">
        <v>22415</v>
      </c>
      <c r="GO31" s="11">
        <v>54</v>
      </c>
      <c r="GP31" s="11">
        <v>1802.9999999999998</v>
      </c>
      <c r="GQ31" s="11">
        <v>14320.999999999996</v>
      </c>
      <c r="GR31" s="11">
        <v>675</v>
      </c>
      <c r="GS31" s="11">
        <v>64030.99999999999</v>
      </c>
      <c r="GT31" s="11">
        <v>14402.000000000002</v>
      </c>
      <c r="GU31" s="11">
        <v>322</v>
      </c>
      <c r="GV31" s="11">
        <v>3681</v>
      </c>
      <c r="GW31" s="11">
        <v>26678.999999999996</v>
      </c>
      <c r="GX31" s="11">
        <v>2038.0000000000005</v>
      </c>
    </row>
    <row r="32" spans="1:206" ht="12.75">
      <c r="A32" s="5" t="s">
        <v>2</v>
      </c>
      <c r="B32" s="12">
        <v>77925</v>
      </c>
      <c r="C32" s="5">
        <v>5295403</v>
      </c>
      <c r="D32" s="5">
        <v>292821</v>
      </c>
      <c r="E32" s="5">
        <v>623510</v>
      </c>
      <c r="F32" s="5">
        <v>978120</v>
      </c>
      <c r="G32" s="5">
        <v>1056449</v>
      </c>
      <c r="H32" s="5">
        <v>1117647</v>
      </c>
      <c r="I32" s="5">
        <v>818314</v>
      </c>
      <c r="J32" s="5">
        <v>408542</v>
      </c>
      <c r="K32" s="5">
        <v>916331</v>
      </c>
      <c r="L32" s="5">
        <v>3488738</v>
      </c>
      <c r="M32" s="5">
        <v>890334</v>
      </c>
      <c r="N32" s="5">
        <v>2567444</v>
      </c>
      <c r="O32" s="5">
        <v>2727959</v>
      </c>
      <c r="P32" s="5">
        <v>5196386</v>
      </c>
      <c r="Q32" s="5">
        <v>99017</v>
      </c>
      <c r="R32" s="5">
        <v>2372777</v>
      </c>
      <c r="S32" s="5">
        <v>823314</v>
      </c>
      <c r="T32" s="5">
        <v>807658</v>
      </c>
      <c r="U32" s="5">
        <v>357491</v>
      </c>
      <c r="V32" s="5">
        <v>272329</v>
      </c>
      <c r="W32" s="5">
        <v>86722</v>
      </c>
      <c r="X32" s="5">
        <v>25263</v>
      </c>
      <c r="Y32" s="5">
        <v>1470986</v>
      </c>
      <c r="Z32" s="5">
        <v>312745</v>
      </c>
      <c r="AA32" s="5">
        <v>263674</v>
      </c>
      <c r="AB32" s="5">
        <v>263459</v>
      </c>
      <c r="AC32" s="5">
        <v>30480</v>
      </c>
      <c r="AD32" s="5">
        <v>2475376</v>
      </c>
      <c r="AE32" s="5">
        <v>724144</v>
      </c>
      <c r="AF32" s="5">
        <v>1002344</v>
      </c>
      <c r="AG32" s="5">
        <v>512836</v>
      </c>
      <c r="AH32" s="5">
        <v>133453</v>
      </c>
      <c r="AI32" s="5">
        <v>2778481</v>
      </c>
      <c r="AJ32" s="5">
        <v>1575000</v>
      </c>
      <c r="AK32" s="5">
        <v>644881</v>
      </c>
      <c r="AL32" s="5">
        <v>226154</v>
      </c>
      <c r="AM32" s="5">
        <v>70887</v>
      </c>
      <c r="AN32" s="5">
        <v>505863</v>
      </c>
      <c r="AO32" s="5">
        <v>534508</v>
      </c>
      <c r="AP32" s="5">
        <v>4255032</v>
      </c>
      <c r="AQ32" s="5">
        <v>4803172</v>
      </c>
      <c r="AR32" s="5">
        <v>273333</v>
      </c>
      <c r="AS32" s="5">
        <v>46315</v>
      </c>
      <c r="AT32" s="5">
        <v>40501</v>
      </c>
      <c r="AU32" s="5">
        <v>132082</v>
      </c>
      <c r="AV32" s="5">
        <v>5295403</v>
      </c>
      <c r="AW32" s="5">
        <v>4445678</v>
      </c>
      <c r="AX32" s="5">
        <v>417109</v>
      </c>
      <c r="AY32" s="5">
        <v>54090</v>
      </c>
      <c r="AZ32" s="5">
        <v>61201</v>
      </c>
      <c r="BA32" s="5">
        <v>102117</v>
      </c>
      <c r="BB32" s="5">
        <v>140678</v>
      </c>
      <c r="BC32" s="5">
        <v>5295403</v>
      </c>
      <c r="BD32" s="5">
        <v>3306138</v>
      </c>
      <c r="BE32" s="5">
        <v>443275</v>
      </c>
      <c r="BF32" s="5">
        <v>968759</v>
      </c>
      <c r="BG32" s="5">
        <v>102028</v>
      </c>
      <c r="BH32" s="5">
        <v>120990</v>
      </c>
      <c r="BI32" s="5">
        <v>104434</v>
      </c>
      <c r="BJ32" s="5">
        <v>234062</v>
      </c>
      <c r="BK32" s="5">
        <v>15717</v>
      </c>
      <c r="BL32" s="5">
        <v>5295403</v>
      </c>
      <c r="BM32" s="5">
        <v>1717871</v>
      </c>
      <c r="BN32" s="5">
        <v>841053</v>
      </c>
      <c r="BO32" s="5">
        <v>291275</v>
      </c>
      <c r="BP32" s="5">
        <v>76737</v>
      </c>
      <c r="BQ32" s="5">
        <v>1941116</v>
      </c>
      <c r="BR32" s="5">
        <v>368039</v>
      </c>
      <c r="BS32" s="5">
        <v>5295403</v>
      </c>
      <c r="BT32" s="5">
        <v>4411884</v>
      </c>
      <c r="BU32" s="5">
        <v>459486</v>
      </c>
      <c r="BV32" s="5">
        <v>17381</v>
      </c>
      <c r="BW32" s="5">
        <v>36655</v>
      </c>
      <c r="BX32" s="5">
        <v>22952</v>
      </c>
      <c r="BY32" s="5">
        <v>137285</v>
      </c>
      <c r="BZ32" s="5">
        <v>369284</v>
      </c>
      <c r="CA32" s="5">
        <v>81615</v>
      </c>
      <c r="CB32" s="5">
        <v>80234</v>
      </c>
      <c r="CC32" s="5">
        <v>69340</v>
      </c>
      <c r="CD32" s="5">
        <v>138095</v>
      </c>
      <c r="CE32" s="5">
        <v>5118223</v>
      </c>
      <c r="CF32" s="5">
        <v>5044683</v>
      </c>
      <c r="CG32" s="5">
        <v>62128</v>
      </c>
      <c r="CH32" s="5">
        <v>11412</v>
      </c>
      <c r="CI32" s="5">
        <v>57375</v>
      </c>
      <c r="CJ32" s="5">
        <v>5031167</v>
      </c>
      <c r="CK32" s="5">
        <v>1537626</v>
      </c>
      <c r="CL32" s="5">
        <v>377676</v>
      </c>
      <c r="CM32" s="5">
        <v>3970530</v>
      </c>
      <c r="CN32" s="5">
        <v>529816</v>
      </c>
      <c r="CO32" s="5">
        <v>1573416</v>
      </c>
      <c r="CP32" s="5">
        <v>297693</v>
      </c>
      <c r="CQ32" s="5">
        <v>189414</v>
      </c>
      <c r="CR32" s="5">
        <v>115970</v>
      </c>
      <c r="CS32" s="5">
        <v>32590</v>
      </c>
      <c r="CT32" s="5">
        <v>3970530</v>
      </c>
      <c r="CU32" s="5">
        <v>1231631</v>
      </c>
      <c r="CV32" s="5">
        <v>591667</v>
      </c>
      <c r="CW32" s="5">
        <v>218412</v>
      </c>
      <c r="CX32" s="5">
        <v>141542</v>
      </c>
      <c r="CY32" s="5">
        <v>203975</v>
      </c>
      <c r="CZ32" s="5">
        <v>76035</v>
      </c>
      <c r="DA32" s="5">
        <v>189414</v>
      </c>
      <c r="DB32" s="5">
        <v>57222</v>
      </c>
      <c r="DC32" s="5">
        <v>34880</v>
      </c>
      <c r="DD32" s="5">
        <v>26416</v>
      </c>
      <c r="DE32" s="5">
        <v>2516895</v>
      </c>
      <c r="DF32" s="11">
        <v>175875</v>
      </c>
      <c r="DG32" s="5">
        <v>529742</v>
      </c>
      <c r="DH32" s="5">
        <v>532889</v>
      </c>
      <c r="DI32" s="5">
        <v>983584</v>
      </c>
      <c r="DJ32" s="11">
        <v>294805</v>
      </c>
      <c r="DK32" s="5">
        <v>2516895</v>
      </c>
      <c r="DL32" s="5">
        <v>50262</v>
      </c>
      <c r="DM32" s="5">
        <v>33980</v>
      </c>
      <c r="DN32" s="5">
        <v>194036</v>
      </c>
      <c r="DO32" s="5">
        <v>20185</v>
      </c>
      <c r="DP32" s="5">
        <v>19206</v>
      </c>
      <c r="DQ32" s="5">
        <v>200343</v>
      </c>
      <c r="DR32" s="5">
        <v>376622</v>
      </c>
      <c r="DS32" s="5">
        <v>125111</v>
      </c>
      <c r="DT32" s="5">
        <v>158175</v>
      </c>
      <c r="DU32" s="5">
        <v>69014</v>
      </c>
      <c r="DV32" s="5">
        <v>113505</v>
      </c>
      <c r="DW32" s="5">
        <v>29522</v>
      </c>
      <c r="DX32" s="5">
        <v>131315</v>
      </c>
      <c r="DY32" s="5">
        <v>109264</v>
      </c>
      <c r="DZ32" s="5">
        <v>175326</v>
      </c>
      <c r="EA32" s="5">
        <v>211954</v>
      </c>
      <c r="EB32" s="5">
        <v>376813</v>
      </c>
      <c r="EC32" s="5">
        <v>122262</v>
      </c>
      <c r="ED32" s="5">
        <v>2516895</v>
      </c>
      <c r="EE32" s="5">
        <v>210819</v>
      </c>
      <c r="EF32" s="5">
        <v>421639</v>
      </c>
      <c r="EG32" s="5">
        <v>318380</v>
      </c>
      <c r="EH32" s="5">
        <v>286144</v>
      </c>
      <c r="EI32" s="5">
        <v>315177</v>
      </c>
      <c r="EJ32" s="5">
        <v>244508</v>
      </c>
      <c r="EK32" s="5">
        <v>234367</v>
      </c>
      <c r="EL32" s="5">
        <v>193594</v>
      </c>
      <c r="EM32" s="5">
        <v>292267</v>
      </c>
      <c r="EN32" s="5">
        <v>4379072</v>
      </c>
      <c r="EO32" s="5">
        <v>1173116</v>
      </c>
      <c r="EP32" s="5">
        <v>1010875</v>
      </c>
      <c r="EQ32" s="5">
        <v>627423</v>
      </c>
      <c r="ER32" s="5">
        <v>424996</v>
      </c>
      <c r="ES32" s="5">
        <v>1142662</v>
      </c>
      <c r="ET32" s="26">
        <v>2473881</v>
      </c>
      <c r="EU32" s="26">
        <v>2372777</v>
      </c>
      <c r="EV32" s="26">
        <v>101104</v>
      </c>
      <c r="EW32" s="26">
        <v>36642</v>
      </c>
      <c r="EX32" s="26">
        <v>64462</v>
      </c>
      <c r="EY32" s="26">
        <v>2371396</v>
      </c>
      <c r="EZ32" s="26">
        <v>520071</v>
      </c>
      <c r="FA32" s="26">
        <v>541359</v>
      </c>
      <c r="FB32" s="26">
        <v>441966</v>
      </c>
      <c r="FC32" s="26">
        <v>864225</v>
      </c>
      <c r="FD32" s="26">
        <v>3775</v>
      </c>
      <c r="FE32" s="26">
        <v>311867</v>
      </c>
      <c r="FF32" s="26">
        <v>511447</v>
      </c>
      <c r="FG32" s="26">
        <v>178972</v>
      </c>
      <c r="FH32" s="26">
        <v>297398</v>
      </c>
      <c r="FI32" s="26">
        <v>321886</v>
      </c>
      <c r="FJ32" s="26">
        <v>139171</v>
      </c>
      <c r="FK32" s="26">
        <v>117637</v>
      </c>
      <c r="FL32" s="26">
        <v>87647</v>
      </c>
      <c r="FM32" s="26">
        <v>11937</v>
      </c>
      <c r="FN32" s="26">
        <v>170002</v>
      </c>
      <c r="FO32" s="26">
        <v>93358</v>
      </c>
      <c r="FP32" s="26">
        <v>36954</v>
      </c>
      <c r="FQ32" s="26">
        <v>20928</v>
      </c>
      <c r="FR32" s="26">
        <v>5598</v>
      </c>
      <c r="FS32" s="26">
        <v>67975</v>
      </c>
      <c r="FT32" s="26">
        <v>2372777</v>
      </c>
      <c r="FU32" s="26">
        <v>93152</v>
      </c>
      <c r="FV32" s="26">
        <v>616489</v>
      </c>
      <c r="FW32" s="26">
        <v>237103</v>
      </c>
      <c r="FX32" s="26">
        <v>135831</v>
      </c>
      <c r="FY32" s="26">
        <v>169707</v>
      </c>
      <c r="FZ32" s="26">
        <v>58858</v>
      </c>
      <c r="GA32" s="26">
        <v>39684</v>
      </c>
      <c r="GB32" s="26">
        <v>71165</v>
      </c>
      <c r="GC32" s="26">
        <v>130150</v>
      </c>
      <c r="GD32" s="26">
        <v>181717</v>
      </c>
      <c r="GE32" s="26">
        <v>195982</v>
      </c>
      <c r="GF32" s="26">
        <v>607738</v>
      </c>
      <c r="GG32" s="26">
        <v>414138</v>
      </c>
      <c r="GH32" s="26">
        <v>2236</v>
      </c>
      <c r="GI32" s="26">
        <v>90404</v>
      </c>
      <c r="GJ32" s="26">
        <v>66814</v>
      </c>
      <c r="GK32" s="26">
        <v>21697</v>
      </c>
      <c r="GL32" s="26">
        <v>12449</v>
      </c>
      <c r="GM32" s="26">
        <v>3397207</v>
      </c>
      <c r="GN32" s="26">
        <v>383490</v>
      </c>
      <c r="GO32" s="26">
        <v>9830</v>
      </c>
      <c r="GP32" s="26">
        <v>118241</v>
      </c>
      <c r="GQ32" s="26">
        <v>454981</v>
      </c>
      <c r="GR32" s="26">
        <v>23678</v>
      </c>
      <c r="GS32" s="26">
        <v>1390214</v>
      </c>
      <c r="GT32" s="26">
        <v>305949</v>
      </c>
      <c r="GU32" s="26">
        <v>7544</v>
      </c>
      <c r="GV32" s="26">
        <v>44193</v>
      </c>
      <c r="GW32" s="26">
        <v>627855</v>
      </c>
      <c r="GX32" s="26">
        <v>31232</v>
      </c>
    </row>
    <row r="34" spans="1:256" ht="12.75">
      <c r="A34" s="5" t="s">
        <v>355</v>
      </c>
      <c r="B34" s="5">
        <v>2</v>
      </c>
      <c r="C34" s="5">
        <v>3</v>
      </c>
      <c r="D34" s="5">
        <v>4</v>
      </c>
      <c r="E34" s="5">
        <v>5</v>
      </c>
      <c r="F34" s="5">
        <v>6</v>
      </c>
      <c r="G34" s="5">
        <v>7</v>
      </c>
      <c r="H34" s="5">
        <v>8</v>
      </c>
      <c r="I34" s="5">
        <v>9</v>
      </c>
      <c r="J34" s="5">
        <v>10</v>
      </c>
      <c r="K34" s="5">
        <v>11</v>
      </c>
      <c r="L34" s="5">
        <v>12</v>
      </c>
      <c r="M34" s="5">
        <v>13</v>
      </c>
      <c r="N34" s="5">
        <v>14</v>
      </c>
      <c r="O34" s="5">
        <v>15</v>
      </c>
      <c r="P34" s="5">
        <v>16</v>
      </c>
      <c r="Q34" s="5">
        <v>17</v>
      </c>
      <c r="R34" s="5">
        <v>18</v>
      </c>
      <c r="S34" s="5">
        <v>19</v>
      </c>
      <c r="T34" s="5">
        <v>20</v>
      </c>
      <c r="U34" s="5">
        <v>21</v>
      </c>
      <c r="V34" s="5">
        <v>22</v>
      </c>
      <c r="W34" s="5">
        <v>23</v>
      </c>
      <c r="X34" s="5">
        <v>24</v>
      </c>
      <c r="Y34" s="5">
        <v>25</v>
      </c>
      <c r="Z34" s="5">
        <v>26</v>
      </c>
      <c r="AA34" s="5">
        <v>27</v>
      </c>
      <c r="AB34" s="5">
        <v>28</v>
      </c>
      <c r="AC34" s="5">
        <v>29</v>
      </c>
      <c r="AD34" s="5">
        <v>30</v>
      </c>
      <c r="AE34" s="5">
        <v>31</v>
      </c>
      <c r="AF34" s="5">
        <v>32</v>
      </c>
      <c r="AG34" s="5">
        <v>33</v>
      </c>
      <c r="AH34" s="5">
        <v>34</v>
      </c>
      <c r="AI34" s="5">
        <v>35</v>
      </c>
      <c r="AJ34" s="5">
        <v>36</v>
      </c>
      <c r="AK34" s="5">
        <v>37</v>
      </c>
      <c r="AL34" s="5">
        <v>38</v>
      </c>
      <c r="AM34" s="5">
        <v>39</v>
      </c>
      <c r="AN34" s="5">
        <v>40</v>
      </c>
      <c r="AO34" s="5">
        <v>41</v>
      </c>
      <c r="AP34" s="5">
        <v>42</v>
      </c>
      <c r="AQ34" s="5">
        <v>43</v>
      </c>
      <c r="AR34" s="5">
        <v>44</v>
      </c>
      <c r="AS34" s="5">
        <v>45</v>
      </c>
      <c r="AT34" s="5">
        <v>46</v>
      </c>
      <c r="AU34" s="5">
        <v>47</v>
      </c>
      <c r="AV34" s="5">
        <v>48</v>
      </c>
      <c r="AW34" s="5">
        <v>49</v>
      </c>
      <c r="AX34" s="5">
        <v>50</v>
      </c>
      <c r="AY34" s="5">
        <v>51</v>
      </c>
      <c r="AZ34" s="5">
        <v>52</v>
      </c>
      <c r="BA34" s="5">
        <v>53</v>
      </c>
      <c r="BB34" s="5">
        <v>54</v>
      </c>
      <c r="BC34" s="5">
        <v>55</v>
      </c>
      <c r="BD34" s="5">
        <v>56</v>
      </c>
      <c r="BE34" s="5">
        <v>57</v>
      </c>
      <c r="BF34" s="5">
        <v>58</v>
      </c>
      <c r="BG34" s="5">
        <v>59</v>
      </c>
      <c r="BH34" s="5">
        <v>60</v>
      </c>
      <c r="BI34" s="5">
        <v>61</v>
      </c>
      <c r="BJ34" s="5">
        <v>62</v>
      </c>
      <c r="BK34" s="5">
        <v>63</v>
      </c>
      <c r="BL34" s="5">
        <v>64</v>
      </c>
      <c r="BM34" s="5">
        <v>65</v>
      </c>
      <c r="BN34" s="5">
        <v>66</v>
      </c>
      <c r="BO34" s="5">
        <v>67</v>
      </c>
      <c r="BP34" s="5">
        <v>68</v>
      </c>
      <c r="BQ34" s="5">
        <v>69</v>
      </c>
      <c r="BR34" s="5">
        <v>70</v>
      </c>
      <c r="BS34" s="5">
        <v>71</v>
      </c>
      <c r="BT34" s="5">
        <v>72</v>
      </c>
      <c r="BU34" s="5">
        <v>73</v>
      </c>
      <c r="BV34" s="5">
        <v>74</v>
      </c>
      <c r="BW34" s="5">
        <v>75</v>
      </c>
      <c r="BX34" s="5">
        <v>76</v>
      </c>
      <c r="BY34" s="5">
        <v>77</v>
      </c>
      <c r="BZ34" s="5">
        <v>78</v>
      </c>
      <c r="CA34" s="5">
        <v>79</v>
      </c>
      <c r="CB34" s="5">
        <v>80</v>
      </c>
      <c r="CC34" s="5">
        <v>81</v>
      </c>
      <c r="CD34" s="5">
        <v>82</v>
      </c>
      <c r="CE34" s="5">
        <v>83</v>
      </c>
      <c r="CF34" s="5">
        <v>84</v>
      </c>
      <c r="CG34" s="5">
        <v>85</v>
      </c>
      <c r="CH34" s="5">
        <v>86</v>
      </c>
      <c r="CI34" s="5">
        <v>87</v>
      </c>
      <c r="CJ34" s="5">
        <v>88</v>
      </c>
      <c r="CK34" s="5">
        <v>89</v>
      </c>
      <c r="CL34" s="5">
        <v>90</v>
      </c>
      <c r="CM34" s="5">
        <v>91</v>
      </c>
      <c r="CN34" s="5">
        <v>92</v>
      </c>
      <c r="CO34" s="5">
        <v>93</v>
      </c>
      <c r="CP34" s="5">
        <v>94</v>
      </c>
      <c r="CQ34" s="5">
        <v>95</v>
      </c>
      <c r="CR34" s="5">
        <v>96</v>
      </c>
      <c r="CS34" s="5">
        <v>97</v>
      </c>
      <c r="CT34" s="5">
        <v>98</v>
      </c>
      <c r="CU34" s="5">
        <v>99</v>
      </c>
      <c r="CV34" s="5">
        <v>100</v>
      </c>
      <c r="CW34" s="5">
        <v>101</v>
      </c>
      <c r="CX34" s="5">
        <v>102</v>
      </c>
      <c r="CY34" s="5">
        <v>103</v>
      </c>
      <c r="CZ34" s="5">
        <v>104</v>
      </c>
      <c r="DA34" s="5">
        <v>105</v>
      </c>
      <c r="DB34" s="5">
        <v>106</v>
      </c>
      <c r="DC34" s="5">
        <v>107</v>
      </c>
      <c r="DD34" s="5">
        <v>108</v>
      </c>
      <c r="DE34" s="5">
        <v>109</v>
      </c>
      <c r="DF34" s="5">
        <v>110</v>
      </c>
      <c r="DG34" s="5">
        <v>111</v>
      </c>
      <c r="DH34" s="5">
        <v>112</v>
      </c>
      <c r="DI34" s="5">
        <v>113</v>
      </c>
      <c r="DJ34" s="5">
        <v>114</v>
      </c>
      <c r="DK34" s="5">
        <v>115</v>
      </c>
      <c r="DL34" s="5">
        <v>116</v>
      </c>
      <c r="DM34" s="5">
        <v>117</v>
      </c>
      <c r="DN34" s="5">
        <v>118</v>
      </c>
      <c r="DO34" s="5">
        <v>119</v>
      </c>
      <c r="DP34" s="5">
        <v>120</v>
      </c>
      <c r="DQ34" s="5">
        <v>121</v>
      </c>
      <c r="DR34" s="5">
        <v>122</v>
      </c>
      <c r="DS34" s="5">
        <v>123</v>
      </c>
      <c r="DT34" s="5">
        <v>124</v>
      </c>
      <c r="DU34" s="5">
        <v>125</v>
      </c>
      <c r="DV34" s="5">
        <v>126</v>
      </c>
      <c r="DW34" s="5">
        <v>127</v>
      </c>
      <c r="DX34" s="5">
        <v>128</v>
      </c>
      <c r="DY34" s="5">
        <v>129</v>
      </c>
      <c r="DZ34" s="5">
        <v>130</v>
      </c>
      <c r="EA34" s="5">
        <v>131</v>
      </c>
      <c r="EB34" s="5">
        <v>132</v>
      </c>
      <c r="EC34" s="5">
        <v>133</v>
      </c>
      <c r="ED34" s="5">
        <v>134</v>
      </c>
      <c r="EE34" s="5">
        <v>135</v>
      </c>
      <c r="EF34" s="5">
        <v>136</v>
      </c>
      <c r="EG34" s="5">
        <v>137</v>
      </c>
      <c r="EH34" s="5">
        <v>138</v>
      </c>
      <c r="EI34" s="5">
        <v>139</v>
      </c>
      <c r="EJ34" s="5">
        <v>140</v>
      </c>
      <c r="EK34" s="5">
        <v>141</v>
      </c>
      <c r="EL34" s="5">
        <v>142</v>
      </c>
      <c r="EM34" s="5">
        <v>143</v>
      </c>
      <c r="EN34" s="5">
        <v>144</v>
      </c>
      <c r="EO34" s="5">
        <v>145</v>
      </c>
      <c r="EP34" s="5">
        <v>146</v>
      </c>
      <c r="EQ34" s="5">
        <v>147</v>
      </c>
      <c r="ER34" s="5">
        <v>148</v>
      </c>
      <c r="ES34" s="5">
        <v>149</v>
      </c>
      <c r="ET34" s="5">
        <v>150</v>
      </c>
      <c r="EU34" s="5">
        <v>151</v>
      </c>
      <c r="EV34" s="5">
        <v>152</v>
      </c>
      <c r="EW34" s="5">
        <v>153</v>
      </c>
      <c r="EX34" s="5">
        <v>154</v>
      </c>
      <c r="EY34" s="5">
        <v>155</v>
      </c>
      <c r="EZ34" s="5">
        <v>156</v>
      </c>
      <c r="FA34" s="5">
        <v>157</v>
      </c>
      <c r="FB34" s="5">
        <v>158</v>
      </c>
      <c r="FC34" s="5">
        <v>159</v>
      </c>
      <c r="FD34" s="5">
        <v>160</v>
      </c>
      <c r="FE34" s="5">
        <v>161</v>
      </c>
      <c r="FF34" s="5">
        <v>162</v>
      </c>
      <c r="FG34" s="5">
        <v>163</v>
      </c>
      <c r="FH34" s="5">
        <v>164</v>
      </c>
      <c r="FI34" s="5">
        <v>165</v>
      </c>
      <c r="FJ34" s="5">
        <v>166</v>
      </c>
      <c r="FK34" s="5">
        <v>167</v>
      </c>
      <c r="FL34" s="5">
        <v>168</v>
      </c>
      <c r="FM34" s="5">
        <v>169</v>
      </c>
      <c r="FN34" s="5">
        <v>170</v>
      </c>
      <c r="FO34" s="5">
        <v>171</v>
      </c>
      <c r="FP34" s="5">
        <v>172</v>
      </c>
      <c r="FQ34" s="5">
        <v>173</v>
      </c>
      <c r="FR34" s="5">
        <v>174</v>
      </c>
      <c r="FS34" s="5">
        <v>175</v>
      </c>
      <c r="FT34" s="5">
        <v>176</v>
      </c>
      <c r="FU34" s="5">
        <v>177</v>
      </c>
      <c r="FV34" s="5">
        <v>178</v>
      </c>
      <c r="FW34" s="5">
        <v>179</v>
      </c>
      <c r="FX34" s="5">
        <v>180</v>
      </c>
      <c r="FY34" s="5">
        <v>181</v>
      </c>
      <c r="FZ34" s="5">
        <v>182</v>
      </c>
      <c r="GA34" s="5">
        <v>183</v>
      </c>
      <c r="GB34" s="5">
        <v>184</v>
      </c>
      <c r="GC34" s="5">
        <v>185</v>
      </c>
      <c r="GD34" s="5">
        <v>186</v>
      </c>
      <c r="GE34" s="5">
        <v>187</v>
      </c>
      <c r="GF34" s="5">
        <v>188</v>
      </c>
      <c r="GG34" s="5">
        <v>189</v>
      </c>
      <c r="GH34" s="5">
        <v>190</v>
      </c>
      <c r="GI34" s="5">
        <v>191</v>
      </c>
      <c r="GJ34" s="5">
        <v>192</v>
      </c>
      <c r="GK34" s="5">
        <v>193</v>
      </c>
      <c r="GL34" s="5">
        <v>194</v>
      </c>
      <c r="GM34" s="5">
        <v>195</v>
      </c>
      <c r="GN34" s="5">
        <v>196</v>
      </c>
      <c r="GO34" s="5">
        <v>197</v>
      </c>
      <c r="GP34" s="5">
        <v>198</v>
      </c>
      <c r="GQ34" s="5">
        <v>199</v>
      </c>
      <c r="GR34" s="5">
        <v>200</v>
      </c>
      <c r="GS34" s="5">
        <v>201</v>
      </c>
      <c r="GT34" s="5">
        <v>202</v>
      </c>
      <c r="GU34" s="5">
        <v>203</v>
      </c>
      <c r="GV34" s="5">
        <v>204</v>
      </c>
      <c r="GW34" s="5">
        <v>205</v>
      </c>
      <c r="GX34" s="5">
        <v>206</v>
      </c>
      <c r="GY34" s="5">
        <v>207</v>
      </c>
      <c r="GZ34" s="5">
        <v>208</v>
      </c>
      <c r="HA34" s="5">
        <v>209</v>
      </c>
      <c r="HB34" s="5">
        <v>210</v>
      </c>
      <c r="HC34" s="5">
        <v>211</v>
      </c>
      <c r="HD34" s="5">
        <v>212</v>
      </c>
      <c r="HE34" s="5">
        <v>213</v>
      </c>
      <c r="HF34" s="5">
        <v>214</v>
      </c>
      <c r="HG34" s="5">
        <v>215</v>
      </c>
      <c r="HH34" s="5">
        <v>216</v>
      </c>
      <c r="HI34" s="5">
        <v>217</v>
      </c>
      <c r="HJ34" s="5">
        <v>218</v>
      </c>
      <c r="HK34" s="5">
        <v>219</v>
      </c>
      <c r="HL34" s="5">
        <v>220</v>
      </c>
      <c r="HM34" s="5">
        <v>221</v>
      </c>
      <c r="HN34" s="5">
        <v>222</v>
      </c>
      <c r="HO34" s="5">
        <v>223</v>
      </c>
      <c r="HP34" s="5">
        <v>224</v>
      </c>
      <c r="HQ34" s="5">
        <v>225</v>
      </c>
      <c r="HR34" s="5">
        <v>226</v>
      </c>
      <c r="HS34" s="5">
        <v>227</v>
      </c>
      <c r="HT34" s="5">
        <v>228</v>
      </c>
      <c r="HU34" s="5">
        <v>229</v>
      </c>
      <c r="HV34" s="5">
        <v>230</v>
      </c>
      <c r="HW34" s="5">
        <v>231</v>
      </c>
      <c r="HX34" s="5">
        <v>232</v>
      </c>
      <c r="HY34" s="5">
        <v>233</v>
      </c>
      <c r="HZ34" s="5">
        <v>234</v>
      </c>
      <c r="IA34" s="5">
        <v>235</v>
      </c>
      <c r="IB34" s="5">
        <v>236</v>
      </c>
      <c r="IC34" s="5">
        <v>237</v>
      </c>
      <c r="ID34" s="5">
        <v>238</v>
      </c>
      <c r="IE34" s="5">
        <v>239</v>
      </c>
      <c r="IF34" s="5">
        <v>240</v>
      </c>
      <c r="IG34" s="5">
        <v>241</v>
      </c>
      <c r="IH34" s="5">
        <v>242</v>
      </c>
      <c r="II34" s="5">
        <v>243</v>
      </c>
      <c r="IJ34" s="5">
        <v>244</v>
      </c>
      <c r="IK34" s="5">
        <v>245</v>
      </c>
      <c r="IL34" s="5">
        <v>246</v>
      </c>
      <c r="IM34" s="5">
        <v>247</v>
      </c>
      <c r="IN34" s="5">
        <v>248</v>
      </c>
      <c r="IO34" s="5">
        <v>249</v>
      </c>
      <c r="IP34" s="5">
        <v>250</v>
      </c>
      <c r="IQ34" s="5">
        <v>251</v>
      </c>
      <c r="IR34" s="5">
        <v>252</v>
      </c>
      <c r="IS34" s="5">
        <v>253</v>
      </c>
      <c r="IT34" s="5">
        <v>254</v>
      </c>
      <c r="IU34" s="5">
        <v>255</v>
      </c>
      <c r="IV34" s="5">
        <v>256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cameront</dc:creator>
  <cp:keywords/>
  <dc:description/>
  <cp:lastModifiedBy>cameront</cp:lastModifiedBy>
  <dcterms:created xsi:type="dcterms:W3CDTF">2013-11-22T11:01:21Z</dcterms:created>
  <dcterms:modified xsi:type="dcterms:W3CDTF">2014-01-03T08:30:23Z</dcterms:modified>
  <cp:category/>
  <cp:version/>
  <cp:contentType/>
  <cp:contentStatus/>
</cp:coreProperties>
</file>