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28" windowWidth="12300" windowHeight="8796" tabRatio="647" activeTab="4"/>
  </bookViews>
  <sheets>
    <sheet name="1.Indicative Costs" sheetId="1" r:id="rId1"/>
    <sheet name="2.Cost Allocation" sheetId="2" r:id="rId2"/>
    <sheet name="3.Contribution Split" sheetId="3" r:id="rId3"/>
    <sheet name="4.Contributions" sheetId="4" r:id="rId4"/>
    <sheet name="Housing Units" sheetId="5" r:id="rId5"/>
  </sheets>
  <definedNames>
    <definedName name="_xlnm.Print_Area" localSheetId="0">'1.Indicative Costs'!$A$1:$J$257</definedName>
    <definedName name="_xlnm.Print_Area" localSheetId="1">'2.Cost Allocation'!$A$1:$I$119</definedName>
    <definedName name="_xlnm.Print_Area" localSheetId="2">'3.Contribution Split'!$A$1:$U$127</definedName>
    <definedName name="_xlnm.Print_Area" localSheetId="3">'4.Contributions'!$A$1:$V$136</definedName>
    <definedName name="_xlnm.Print_Titles" localSheetId="0">'1.Indicative Costs'!$1:$3</definedName>
    <definedName name="_xlnm.Print_Titles" localSheetId="1">'2.Cost Allocation'!$5:$6</definedName>
    <definedName name="_xlnm.Print_Titles" localSheetId="3">'4.Contributions'!$1:$5</definedName>
  </definedNames>
  <calcPr fullCalcOnLoad="1"/>
</workbook>
</file>

<file path=xl/comments2.xml><?xml version="1.0" encoding="utf-8"?>
<comments xmlns="http://schemas.openxmlformats.org/spreadsheetml/2006/main">
  <authors>
    <author>Morris</author>
  </authors>
  <commentList>
    <comment ref="C15" authorId="0">
      <text>
        <r>
          <rPr>
            <b/>
            <sz val="8"/>
            <rFont val="Tahoma"/>
            <family val="0"/>
          </rPr>
          <t>Morris:</t>
        </r>
        <r>
          <rPr>
            <sz val="8"/>
            <rFont val="Tahoma"/>
            <family val="0"/>
          </rPr>
          <t xml:space="preserve">
Beechwood 50% of 1,650,000 not included</t>
        </r>
      </text>
    </comment>
    <comment ref="C18" authorId="0">
      <text>
        <r>
          <rPr>
            <b/>
            <sz val="8"/>
            <rFont val="Tahoma"/>
            <family val="0"/>
          </rPr>
          <t>Morris:</t>
        </r>
        <r>
          <rPr>
            <sz val="8"/>
            <rFont val="Tahoma"/>
            <family val="0"/>
          </rPr>
          <t xml:space="preserve">
Beechwood 1,500,00 not included here</t>
        </r>
      </text>
    </comment>
  </commentList>
</comments>
</file>

<file path=xl/comments3.xml><?xml version="1.0" encoding="utf-8"?>
<comments xmlns="http://schemas.openxmlformats.org/spreadsheetml/2006/main">
  <authors>
    <author>Morris</author>
  </authors>
  <commentList>
    <comment ref="Q112" authorId="0">
      <text>
        <r>
          <rPr>
            <b/>
            <sz val="8"/>
            <rFont val="Tahoma"/>
            <family val="0"/>
          </rPr>
          <t>Morris:</t>
        </r>
        <r>
          <rPr>
            <sz val="8"/>
            <rFont val="Tahoma"/>
            <family val="0"/>
          </rPr>
          <t xml:space="preserve">
The sum of these costs is £23,446,376. However because the figures are linked to calculations in the Indicative Costs there is a difference (of £1).</t>
        </r>
      </text>
    </comment>
    <comment ref="R112" authorId="0">
      <text>
        <r>
          <rPr>
            <b/>
            <sz val="8"/>
            <rFont val="Tahoma"/>
            <family val="0"/>
          </rPr>
          <t>Morris:</t>
        </r>
        <r>
          <rPr>
            <sz val="8"/>
            <rFont val="Tahoma"/>
            <family val="0"/>
          </rPr>
          <t xml:space="preserve">
The sum of these costs is £23,446,376. However because the figures are linked to calculations in the Indicative Costs there is a difference (of £1).</t>
        </r>
      </text>
    </comment>
    <comment ref="S112" authorId="0">
      <text>
        <r>
          <rPr>
            <b/>
            <sz val="8"/>
            <rFont val="Tahoma"/>
            <family val="0"/>
          </rPr>
          <t>Morris:</t>
        </r>
        <r>
          <rPr>
            <sz val="8"/>
            <rFont val="Tahoma"/>
            <family val="0"/>
          </rPr>
          <t xml:space="preserve">
The sum of these costs is £23,446,376. However because the figures are linked to calculations in the Indicative Costs there is a difference (of £1).</t>
        </r>
      </text>
    </comment>
  </commentList>
</comments>
</file>

<file path=xl/comments4.xml><?xml version="1.0" encoding="utf-8"?>
<comments xmlns="http://schemas.openxmlformats.org/spreadsheetml/2006/main">
  <authors>
    <author>Morris</author>
  </authors>
  <commentList>
    <comment ref="I42" authorId="0">
      <text>
        <r>
          <rPr>
            <b/>
            <sz val="8"/>
            <rFont val="Tahoma"/>
            <family val="0"/>
          </rPr>
          <t>Morris:</t>
        </r>
        <r>
          <rPr>
            <sz val="8"/>
            <rFont val="Tahoma"/>
            <family val="0"/>
          </rPr>
          <t xml:space="preserve">
1 Nr and not per 100m2</t>
        </r>
      </text>
    </comment>
    <comment ref="R42" authorId="0">
      <text>
        <r>
          <rPr>
            <b/>
            <sz val="8"/>
            <rFont val="Tahoma"/>
            <family val="0"/>
          </rPr>
          <t>Morris:</t>
        </r>
        <r>
          <rPr>
            <sz val="8"/>
            <rFont val="Tahoma"/>
            <family val="0"/>
          </rPr>
          <t xml:space="preserve">
1 Nr and not per 100m2</t>
        </r>
      </text>
    </comment>
  </commentList>
</comments>
</file>

<file path=xl/sharedStrings.xml><?xml version="1.0" encoding="utf-8"?>
<sst xmlns="http://schemas.openxmlformats.org/spreadsheetml/2006/main" count="1626" uniqueCount="462">
  <si>
    <t>EAST INVERNESS FRAMEWORK PLAN</t>
  </si>
  <si>
    <t>NAIRN FRAMEWORK PLAN</t>
  </si>
  <si>
    <t>TORNAGRAIN FRAMEWORK PLAN</t>
  </si>
  <si>
    <t>TORNAGRAIN FRAMEWORK PLAN TOTAL</t>
  </si>
  <si>
    <t>NAIRN FRAMEWORK PLAN TOTAL</t>
  </si>
  <si>
    <t>Food Retail</t>
  </si>
  <si>
    <t>Hotel</t>
  </si>
  <si>
    <t>Residential</t>
  </si>
  <si>
    <t>Other Retail</t>
  </si>
  <si>
    <t>Industry</t>
  </si>
  <si>
    <t>Business</t>
  </si>
  <si>
    <t>Leisure/ Other</t>
  </si>
  <si>
    <t>Leisure / Other</t>
  </si>
  <si>
    <t>WHITENESS FRAMEWORK PLAN TOTAL</t>
  </si>
  <si>
    <t>WHITENESS FRAMEWORK PLAN</t>
  </si>
  <si>
    <t>DRAFT FOR DISCUSSION</t>
  </si>
  <si>
    <t>Trips Rate</t>
  </si>
  <si>
    <t>Total Trips</t>
  </si>
  <si>
    <t>Percentage of Total Trips</t>
  </si>
  <si>
    <t>Total</t>
  </si>
  <si>
    <t>Contribution to Corridor Wide Infrastructure</t>
  </si>
  <si>
    <t>check</t>
  </si>
  <si>
    <t>Contribution Weighting Factor (%)</t>
  </si>
  <si>
    <r>
      <t xml:space="preserve">Alturlie; </t>
    </r>
    <r>
      <rPr>
        <sz val="8"/>
        <color indexed="10"/>
        <rFont val="Verdana"/>
        <family val="2"/>
      </rPr>
      <t>600 units</t>
    </r>
  </si>
  <si>
    <r>
      <t xml:space="preserve">Cradlehall; </t>
    </r>
    <r>
      <rPr>
        <sz val="8"/>
        <color indexed="10"/>
        <rFont val="Verdana"/>
        <family val="2"/>
      </rPr>
      <t>160 units</t>
    </r>
  </si>
  <si>
    <r>
      <t xml:space="preserve">Beechwood Farm; </t>
    </r>
    <r>
      <rPr>
        <sz val="8"/>
        <color indexed="10"/>
        <rFont val="Verdana"/>
        <family val="2"/>
      </rPr>
      <t>121 units</t>
    </r>
  </si>
  <si>
    <r>
      <t xml:space="preserve">Ashton; </t>
    </r>
    <r>
      <rPr>
        <sz val="8"/>
        <color indexed="10"/>
        <rFont val="Verdana"/>
        <family val="2"/>
      </rPr>
      <t>1,657 units</t>
    </r>
  </si>
  <si>
    <r>
      <t xml:space="preserve">Stratton; </t>
    </r>
    <r>
      <rPr>
        <sz val="8"/>
        <color indexed="10"/>
        <rFont val="Verdana"/>
        <family val="2"/>
      </rPr>
      <t>1,214 units</t>
    </r>
  </si>
  <si>
    <r>
      <t xml:space="preserve">Smithton; </t>
    </r>
    <r>
      <rPr>
        <sz val="8"/>
        <color indexed="10"/>
        <rFont val="Verdana"/>
        <family val="2"/>
      </rPr>
      <t>300 units</t>
    </r>
  </si>
  <si>
    <r>
      <t xml:space="preserve">Westhill; </t>
    </r>
    <r>
      <rPr>
        <sz val="8"/>
        <color indexed="10"/>
        <rFont val="Verdana"/>
        <family val="2"/>
      </rPr>
      <t>677 units</t>
    </r>
  </si>
  <si>
    <r>
      <t xml:space="preserve">Castle Stuart; </t>
    </r>
    <r>
      <rPr>
        <sz val="8"/>
        <color indexed="10"/>
        <rFont val="Verdana"/>
        <family val="2"/>
      </rPr>
      <t>150 units</t>
    </r>
  </si>
  <si>
    <r>
      <t xml:space="preserve">Cradlehall; </t>
    </r>
    <r>
      <rPr>
        <sz val="8"/>
        <color indexed="10"/>
        <rFont val="Verdana"/>
        <family val="2"/>
      </rPr>
      <t>3,000m2</t>
    </r>
  </si>
  <si>
    <r>
      <t xml:space="preserve">Stoneyfield; </t>
    </r>
    <r>
      <rPr>
        <sz val="8"/>
        <color indexed="10"/>
        <rFont val="Verdana"/>
        <family val="2"/>
      </rPr>
      <t>20,000m2</t>
    </r>
  </si>
  <si>
    <r>
      <t xml:space="preserve">Ashton; </t>
    </r>
    <r>
      <rPr>
        <sz val="8"/>
        <color indexed="10"/>
        <rFont val="Verdana"/>
        <family val="2"/>
      </rPr>
      <t>31,000m2</t>
    </r>
  </si>
  <si>
    <r>
      <t xml:space="preserve">Stratton; </t>
    </r>
    <r>
      <rPr>
        <sz val="8"/>
        <color indexed="10"/>
        <rFont val="Verdana"/>
        <family val="2"/>
      </rPr>
      <t>4,000m2</t>
    </r>
  </si>
  <si>
    <r>
      <t>Ashton;</t>
    </r>
    <r>
      <rPr>
        <sz val="8"/>
        <color indexed="10"/>
        <rFont val="Verdana"/>
        <family val="2"/>
      </rPr>
      <t xml:space="preserve"> 21,000m2; hotel</t>
    </r>
  </si>
  <si>
    <r>
      <t xml:space="preserve">Castle Stuart; </t>
    </r>
    <r>
      <rPr>
        <sz val="8"/>
        <color indexed="10"/>
        <rFont val="Verdana"/>
        <family val="2"/>
      </rPr>
      <t>1,000m2; hotel</t>
    </r>
  </si>
  <si>
    <r>
      <t xml:space="preserve">Stratton; </t>
    </r>
    <r>
      <rPr>
        <sz val="8"/>
        <color indexed="10"/>
        <rFont val="Verdana"/>
        <family val="2"/>
      </rPr>
      <t xml:space="preserve">8,000m2; </t>
    </r>
  </si>
  <si>
    <r>
      <t xml:space="preserve">Westhill; </t>
    </r>
    <r>
      <rPr>
        <sz val="8"/>
        <color indexed="10"/>
        <rFont val="Verdana"/>
        <family val="2"/>
      </rPr>
      <t xml:space="preserve">1,000m2; </t>
    </r>
  </si>
  <si>
    <r>
      <t xml:space="preserve">Westhill; </t>
    </r>
    <r>
      <rPr>
        <sz val="8"/>
        <color indexed="10"/>
        <rFont val="Verdana"/>
        <family val="2"/>
      </rPr>
      <t>1,000m2</t>
    </r>
  </si>
  <si>
    <r>
      <t xml:space="preserve">Nairn West; </t>
    </r>
    <r>
      <rPr>
        <sz val="8"/>
        <color indexed="10"/>
        <rFont val="Verdana"/>
        <family val="2"/>
      </rPr>
      <t>2,100 units</t>
    </r>
  </si>
  <si>
    <r>
      <t xml:space="preserve">Moss-Side; </t>
    </r>
    <r>
      <rPr>
        <sz val="8"/>
        <color indexed="10"/>
        <rFont val="Verdana"/>
        <family val="2"/>
      </rPr>
      <t>1500 units</t>
    </r>
  </si>
  <si>
    <r>
      <t xml:space="preserve">Tradespark; </t>
    </r>
    <r>
      <rPr>
        <sz val="8"/>
        <color indexed="10"/>
        <rFont val="Verdana"/>
        <family val="2"/>
      </rPr>
      <t>410 units</t>
    </r>
  </si>
  <si>
    <r>
      <t xml:space="preserve">Firhall; </t>
    </r>
    <r>
      <rPr>
        <sz val="8"/>
        <color indexed="10"/>
        <rFont val="Verdana"/>
        <family val="2"/>
      </rPr>
      <t>829 units</t>
    </r>
  </si>
  <si>
    <r>
      <t xml:space="preserve">Aldearn; </t>
    </r>
    <r>
      <rPr>
        <sz val="8"/>
        <color indexed="10"/>
        <rFont val="Verdana"/>
        <family val="2"/>
      </rPr>
      <t>276 units</t>
    </r>
  </si>
  <si>
    <r>
      <t xml:space="preserve">Lochloy; </t>
    </r>
    <r>
      <rPr>
        <sz val="8"/>
        <color indexed="10"/>
        <rFont val="Verdana"/>
        <family val="2"/>
      </rPr>
      <t>4 units</t>
    </r>
  </si>
  <si>
    <r>
      <t xml:space="preserve">Balloch; </t>
    </r>
    <r>
      <rPr>
        <sz val="8"/>
        <color indexed="10"/>
        <rFont val="Verdana"/>
        <family val="2"/>
      </rPr>
      <t>17 units</t>
    </r>
  </si>
  <si>
    <r>
      <t xml:space="preserve">Nairn Coast; </t>
    </r>
    <r>
      <rPr>
        <sz val="8"/>
        <color indexed="10"/>
        <rFont val="Verdana"/>
        <family val="2"/>
      </rPr>
      <t>22 units</t>
    </r>
  </si>
  <si>
    <r>
      <t xml:space="preserve">Nairn South West; </t>
    </r>
    <r>
      <rPr>
        <sz val="8"/>
        <color indexed="10"/>
        <rFont val="Verdana"/>
        <family val="2"/>
      </rPr>
      <t>11 units</t>
    </r>
  </si>
  <si>
    <r>
      <t xml:space="preserve">Nairn Centre; </t>
    </r>
    <r>
      <rPr>
        <sz val="8"/>
        <color indexed="10"/>
        <rFont val="Verdana"/>
        <family val="2"/>
      </rPr>
      <t>20 units</t>
    </r>
  </si>
  <si>
    <r>
      <t xml:space="preserve">Nairn East; </t>
    </r>
    <r>
      <rPr>
        <sz val="8"/>
        <color indexed="10"/>
        <rFont val="Verdana"/>
        <family val="2"/>
      </rPr>
      <t>15 units</t>
    </r>
  </si>
  <si>
    <r>
      <t xml:space="preserve">Kingsteps; </t>
    </r>
    <r>
      <rPr>
        <sz val="8"/>
        <color indexed="10"/>
        <rFont val="Verdana"/>
        <family val="2"/>
      </rPr>
      <t>125 units</t>
    </r>
  </si>
  <si>
    <r>
      <t xml:space="preserve">Tradespark; </t>
    </r>
    <r>
      <rPr>
        <sz val="8"/>
        <color indexed="10"/>
        <rFont val="Verdana"/>
        <family val="2"/>
      </rPr>
      <t>6,000m2</t>
    </r>
  </si>
  <si>
    <r>
      <t xml:space="preserve">Firhall; </t>
    </r>
    <r>
      <rPr>
        <sz val="8"/>
        <color indexed="10"/>
        <rFont val="Verdana"/>
        <family val="2"/>
      </rPr>
      <t>10,000m2</t>
    </r>
  </si>
  <si>
    <r>
      <t xml:space="preserve">Lochloy; </t>
    </r>
    <r>
      <rPr>
        <sz val="8"/>
        <color indexed="10"/>
        <rFont val="Verdana"/>
        <family val="2"/>
      </rPr>
      <t>12,000m2</t>
    </r>
  </si>
  <si>
    <r>
      <t xml:space="preserve">Househill; </t>
    </r>
    <r>
      <rPr>
        <sz val="8"/>
        <color indexed="10"/>
        <rFont val="Verdana"/>
        <family val="2"/>
      </rPr>
      <t>2,000m2</t>
    </r>
  </si>
  <si>
    <r>
      <t xml:space="preserve">Balmakeith; </t>
    </r>
    <r>
      <rPr>
        <sz val="8"/>
        <color indexed="10"/>
        <rFont val="Verdana"/>
        <family val="2"/>
      </rPr>
      <t>48,000m2</t>
    </r>
  </si>
  <si>
    <r>
      <t xml:space="preserve">Nairn East; </t>
    </r>
    <r>
      <rPr>
        <sz val="8"/>
        <color indexed="10"/>
        <rFont val="Verdana"/>
        <family val="2"/>
      </rPr>
      <t>9,000m2</t>
    </r>
  </si>
  <si>
    <r>
      <t xml:space="preserve">Firhall; </t>
    </r>
    <r>
      <rPr>
        <sz val="8"/>
        <color indexed="10"/>
        <rFont val="Verdana"/>
        <family val="2"/>
      </rPr>
      <t>5,000m2</t>
    </r>
  </si>
  <si>
    <r>
      <t xml:space="preserve">Househill; </t>
    </r>
    <r>
      <rPr>
        <sz val="8"/>
        <color indexed="10"/>
        <rFont val="Verdana"/>
        <family val="2"/>
      </rPr>
      <t>5,000m2</t>
    </r>
  </si>
  <si>
    <r>
      <t xml:space="preserve">Firhall; </t>
    </r>
    <r>
      <rPr>
        <sz val="8"/>
        <color indexed="10"/>
        <rFont val="Verdana"/>
        <family val="2"/>
      </rPr>
      <t>4,000m2</t>
    </r>
  </si>
  <si>
    <r>
      <t xml:space="preserve">Lochloy; </t>
    </r>
    <r>
      <rPr>
        <sz val="8"/>
        <color indexed="10"/>
        <rFont val="Verdana"/>
        <family val="2"/>
      </rPr>
      <t>10,000m2</t>
    </r>
  </si>
  <si>
    <r>
      <t>Balmakeith;</t>
    </r>
    <r>
      <rPr>
        <sz val="8"/>
        <color indexed="10"/>
        <rFont val="Verdana"/>
        <family val="2"/>
      </rPr>
      <t xml:space="preserve"> 36,000m2</t>
    </r>
  </si>
  <si>
    <r>
      <t xml:space="preserve">Nairn East Industrial Estate; </t>
    </r>
    <r>
      <rPr>
        <sz val="8"/>
        <color indexed="10"/>
        <rFont val="Verdana"/>
        <family val="2"/>
      </rPr>
      <t>4,000m2</t>
    </r>
  </si>
  <si>
    <r>
      <t xml:space="preserve">Croy; </t>
    </r>
    <r>
      <rPr>
        <sz val="8"/>
        <color indexed="10"/>
        <rFont val="Verdana"/>
        <family val="2"/>
      </rPr>
      <t>245 units</t>
    </r>
  </si>
  <si>
    <r>
      <t xml:space="preserve">Ardersier; </t>
    </r>
    <r>
      <rPr>
        <sz val="8"/>
        <color indexed="10"/>
        <rFont val="Verdana"/>
        <family val="2"/>
      </rPr>
      <t>245 units</t>
    </r>
  </si>
  <si>
    <r>
      <t>Fort George;</t>
    </r>
    <r>
      <rPr>
        <sz val="8"/>
        <color indexed="10"/>
        <rFont val="Verdana"/>
        <family val="2"/>
      </rPr>
      <t xml:space="preserve"> 150 units</t>
    </r>
  </si>
  <si>
    <r>
      <t xml:space="preserve">Cawdor; </t>
    </r>
    <r>
      <rPr>
        <sz val="8"/>
        <color indexed="10"/>
        <rFont val="Verdana"/>
        <family val="2"/>
      </rPr>
      <t>237 units</t>
    </r>
  </si>
  <si>
    <r>
      <t xml:space="preserve">Fisherton; </t>
    </r>
    <r>
      <rPr>
        <sz val="8"/>
        <color indexed="10"/>
        <rFont val="Verdana"/>
        <family val="2"/>
      </rPr>
      <t>75 units</t>
    </r>
  </si>
  <si>
    <r>
      <t xml:space="preserve">Ardersier; </t>
    </r>
    <r>
      <rPr>
        <sz val="8"/>
        <color indexed="10"/>
        <rFont val="Verdana"/>
        <family val="2"/>
      </rPr>
      <t>1,000m2</t>
    </r>
  </si>
  <si>
    <r>
      <t xml:space="preserve">Fisherton; </t>
    </r>
    <r>
      <rPr>
        <sz val="8"/>
        <color indexed="10"/>
        <rFont val="Verdana"/>
        <family val="2"/>
      </rPr>
      <t>8,000m2</t>
    </r>
  </si>
  <si>
    <r>
      <t>Tornagrain;</t>
    </r>
    <r>
      <rPr>
        <sz val="8"/>
        <color indexed="10"/>
        <rFont val="Verdana"/>
        <family val="2"/>
      </rPr>
      <t xml:space="preserve"> 2,550 units</t>
    </r>
  </si>
  <si>
    <r>
      <t xml:space="preserve">Gollanfield; </t>
    </r>
    <r>
      <rPr>
        <sz val="8"/>
        <color indexed="10"/>
        <rFont val="Verdana"/>
        <family val="2"/>
      </rPr>
      <t>1,950 units</t>
    </r>
  </si>
  <si>
    <r>
      <t xml:space="preserve">Tornagrain; </t>
    </r>
    <r>
      <rPr>
        <sz val="8"/>
        <color indexed="10"/>
        <rFont val="Verdana"/>
        <family val="2"/>
      </rPr>
      <t>5,000m2</t>
    </r>
  </si>
  <si>
    <r>
      <t xml:space="preserve">Airport; </t>
    </r>
    <r>
      <rPr>
        <sz val="8"/>
        <color indexed="10"/>
        <rFont val="Verdana"/>
        <family val="2"/>
      </rPr>
      <t>6,000m2</t>
    </r>
  </si>
  <si>
    <r>
      <t>IA Buisness Park;</t>
    </r>
    <r>
      <rPr>
        <sz val="8"/>
        <color indexed="10"/>
        <rFont val="Verdana"/>
        <family val="2"/>
      </rPr>
      <t xml:space="preserve"> 240m2</t>
    </r>
  </si>
  <si>
    <r>
      <t xml:space="preserve">Tornagrain; </t>
    </r>
    <r>
      <rPr>
        <sz val="8"/>
        <color indexed="10"/>
        <rFont val="Verdana"/>
        <family val="2"/>
      </rPr>
      <t>4,000m2</t>
    </r>
  </si>
  <si>
    <r>
      <t>Tornagrain;</t>
    </r>
    <r>
      <rPr>
        <sz val="8"/>
        <color indexed="10"/>
        <rFont val="Verdana"/>
        <family val="2"/>
      </rPr>
      <t xml:space="preserve"> 8,000m2</t>
    </r>
  </si>
  <si>
    <r>
      <t xml:space="preserve">Croy; </t>
    </r>
    <r>
      <rPr>
        <sz val="8"/>
        <color indexed="10"/>
        <rFont val="Verdana"/>
        <family val="2"/>
      </rPr>
      <t>1,000m2</t>
    </r>
  </si>
  <si>
    <r>
      <t xml:space="preserve">Fisherton; </t>
    </r>
    <r>
      <rPr>
        <sz val="8"/>
        <color indexed="10"/>
        <rFont val="Verdana"/>
        <family val="2"/>
      </rPr>
      <t>2,000m2</t>
    </r>
  </si>
  <si>
    <t>Schools</t>
  </si>
  <si>
    <t>3 Nr 300 Pupil Primary Schools</t>
  </si>
  <si>
    <t>1 Nr 600 Pupil Secondary School</t>
  </si>
  <si>
    <t>Green Space</t>
  </si>
  <si>
    <t>13 hectares of formal park area</t>
  </si>
  <si>
    <t>Bypass</t>
  </si>
  <si>
    <t>Green Bridges: 4 Nr</t>
  </si>
  <si>
    <t>20 hectares</t>
  </si>
  <si>
    <t>Regional Sports Complex</t>
  </si>
  <si>
    <t>Public Transport Interchange</t>
  </si>
  <si>
    <t>Bus Interchange: 1Nr</t>
  </si>
  <si>
    <t>Park &amp; Ride</t>
  </si>
  <si>
    <t>Costs allocated to East Inverness Framework Plan</t>
  </si>
  <si>
    <t>Infrastructure Costs allocated to Corridor Wide</t>
  </si>
  <si>
    <t>Costs allocated to Nairn Framework Plan</t>
  </si>
  <si>
    <t>Totals</t>
  </si>
  <si>
    <t>Visitor centre: 2,000m2</t>
  </si>
  <si>
    <t>Bypass: 7km with 4 junctions</t>
  </si>
  <si>
    <t>Green Bridges: 1 Nr</t>
  </si>
  <si>
    <t xml:space="preserve">Bridges: 3 Nr </t>
  </si>
  <si>
    <t>35 hectares</t>
  </si>
  <si>
    <t>1 Nr 1000 Pupil Secondary School</t>
  </si>
  <si>
    <t>CENTRAL FRAMEWORK PLAN</t>
  </si>
  <si>
    <t>New Landscapes</t>
  </si>
  <si>
    <t>A96 Duelling</t>
  </si>
  <si>
    <t>Railway Upgrades</t>
  </si>
  <si>
    <t>Woodland: 300 hectares</t>
  </si>
  <si>
    <t>Paths and Trails</t>
  </si>
  <si>
    <t>150 km</t>
  </si>
  <si>
    <t>Costs allocated to Whiteness Framework Plan</t>
  </si>
  <si>
    <t>Costs allocated to Tornagrain Framework Plan</t>
  </si>
  <si>
    <t>Inverness East Option 1</t>
  </si>
  <si>
    <t>Nairn Area Option 4</t>
  </si>
  <si>
    <t>Central Area Option 2</t>
  </si>
  <si>
    <t>Water Supply Cost</t>
  </si>
  <si>
    <t>Tornagrain Park: 8 hectares</t>
  </si>
  <si>
    <t>Playing fields: 4 Nr</t>
  </si>
  <si>
    <t>Health Building</t>
  </si>
  <si>
    <t>Health Centre: 1,500m2</t>
  </si>
  <si>
    <t>Community Leisure / Pool</t>
  </si>
  <si>
    <t>Recreation Centre: 1,000m2</t>
  </si>
  <si>
    <t>Train Station</t>
  </si>
  <si>
    <t>Station: 1,000m2</t>
  </si>
  <si>
    <t>Civic</t>
  </si>
  <si>
    <t>Town Hall / Ecclesiastical: 1,200m2</t>
  </si>
  <si>
    <t>Community Hall</t>
  </si>
  <si>
    <t>Health Centre</t>
  </si>
  <si>
    <t>Overall Totals</t>
  </si>
  <si>
    <t>FRAMEWORK PLAN CONTRIBUTIONS</t>
  </si>
  <si>
    <t>Contribution to Framework Plan Infrastructure</t>
  </si>
  <si>
    <t>Costs allocated to Central Framework Plan</t>
  </si>
  <si>
    <t>Notes</t>
  </si>
  <si>
    <t>60% assumed for local</t>
  </si>
  <si>
    <t xml:space="preserve">Business </t>
  </si>
  <si>
    <t>Specific Contributions</t>
  </si>
  <si>
    <t>Playing Fields: 40 hectares</t>
  </si>
  <si>
    <t>60% of western section is for local access to developments</t>
  </si>
  <si>
    <t>Internal upgrading of local roads included in development costs</t>
  </si>
  <si>
    <t>Dual carriageway: 13.5km</t>
  </si>
  <si>
    <t>Dual carriageway</t>
  </si>
  <si>
    <t>22 Nr</t>
  </si>
  <si>
    <t>Structural Landscaping</t>
  </si>
  <si>
    <t>Provision at developers discretion</t>
  </si>
  <si>
    <t>Police/ Ambulance/ Fire: 1,500m2</t>
  </si>
  <si>
    <t>Administration &amp; Fees</t>
  </si>
  <si>
    <t>17.5 hectares</t>
  </si>
  <si>
    <t>Allocation reflects sensitive landscapes and environment</t>
  </si>
  <si>
    <t>Park 2 hectares</t>
  </si>
  <si>
    <r>
      <t xml:space="preserve">Whiteness; </t>
    </r>
    <r>
      <rPr>
        <sz val="8"/>
        <color indexed="10"/>
        <rFont val="Verdana"/>
        <family val="2"/>
      </rPr>
      <t>1,950 units</t>
    </r>
  </si>
  <si>
    <t>Contribution to TOTAL CORRIDOR Infrastructure</t>
  </si>
  <si>
    <t>CENTRAL FRAMEWORK PLAN TOTAL</t>
  </si>
  <si>
    <t>Sports Pavilion: 3,000m2</t>
  </si>
  <si>
    <t>Totals excluding specific contributions allocated</t>
  </si>
  <si>
    <t>163 hectares of recreation, playing fields, open park, forest park</t>
  </si>
  <si>
    <t>Signaling, passing places, tbc</t>
  </si>
  <si>
    <t>A96 Corridor - Indicative Costings</t>
  </si>
  <si>
    <t>Individual Total</t>
  </si>
  <si>
    <t xml:space="preserve">Professional Fees </t>
  </si>
  <si>
    <t>Contingency</t>
  </si>
  <si>
    <t xml:space="preserve">Indicative Cost Total  </t>
  </si>
  <si>
    <t>Rate</t>
  </si>
  <si>
    <t>(£)</t>
  </si>
  <si>
    <t>ALL AREAS ARE GIFA (m2)</t>
  </si>
  <si>
    <t>Acqusitions</t>
  </si>
  <si>
    <t>a</t>
  </si>
  <si>
    <t>b</t>
  </si>
  <si>
    <t>c</t>
  </si>
  <si>
    <t>Assumed 12m2 per pupil; includes full leisure facilities</t>
  </si>
  <si>
    <t>d</t>
  </si>
  <si>
    <t>e</t>
  </si>
  <si>
    <t>f</t>
  </si>
  <si>
    <t>g</t>
  </si>
  <si>
    <t>Native woodland</t>
  </si>
  <si>
    <t>h</t>
  </si>
  <si>
    <t>i</t>
  </si>
  <si>
    <t>Sports Pavillion: 3,000m2</t>
  </si>
  <si>
    <t>j</t>
  </si>
  <si>
    <t>Sum; based on Hamilton Interchange budget</t>
  </si>
  <si>
    <t>k</t>
  </si>
  <si>
    <t>l</t>
  </si>
  <si>
    <t>Assumed an average of 95m2 per unit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</si>
  <si>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</si>
  <si>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</si>
  <si>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</si>
  <si>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</si>
  <si>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</si>
  <si>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</si>
  <si>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</si>
  <si>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</si>
  <si>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</si>
  <si>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</si>
  <si>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</si>
  <si>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Assumed commercial offices</t>
  </si>
  <si>
    <t>x</t>
  </si>
  <si>
    <t>y</t>
  </si>
  <si>
    <t>z</t>
  </si>
  <si>
    <t>aa</t>
  </si>
  <si>
    <t>bb</t>
  </si>
  <si>
    <t>cc</t>
  </si>
  <si>
    <t>Use undefined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</si>
  <si>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</si>
  <si>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</si>
  <si>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</si>
  <si>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</si>
  <si>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</si>
  <si>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</si>
  <si>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</si>
  <si>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</si>
  <si>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</si>
  <si>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</si>
  <si>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Assume factory unit</t>
  </si>
  <si>
    <t>Golf Course</t>
  </si>
  <si>
    <t>Assumed supermarket</t>
  </si>
  <si>
    <t>nn</t>
  </si>
  <si>
    <t>oo</t>
  </si>
  <si>
    <t xml:space="preserve">Road over rail bridges: 2 Nr </t>
  </si>
  <si>
    <t>Signalling, passing places, tbc</t>
  </si>
  <si>
    <t>As advised by Network Rail</t>
  </si>
  <si>
    <t>Green Wedges and Corridors</t>
  </si>
  <si>
    <t>Most expensive option chosen</t>
  </si>
  <si>
    <t>Dual carriageway: 4km</t>
  </si>
  <si>
    <t>Moved to corridor wide framework</t>
  </si>
  <si>
    <t>2 hectares</t>
  </si>
  <si>
    <t>As per Whiteness Document</t>
  </si>
  <si>
    <t>Whiteness; EXCLUDED</t>
  </si>
  <si>
    <t xml:space="preserve">Based on Ravenscraig </t>
  </si>
  <si>
    <t>INDICATIVE COST TOTAL, SAY</t>
  </si>
  <si>
    <t>Quantity</t>
  </si>
  <si>
    <t>Road over rail bridges: 2 Nr</t>
  </si>
  <si>
    <t>Longman Park: 9 hectares</t>
  </si>
  <si>
    <t>Scottish Water (costs advised by SW) - Wastewater Development</t>
  </si>
  <si>
    <t>Information</t>
  </si>
  <si>
    <t>Artwork allowance: 22 Nr</t>
  </si>
  <si>
    <t>m2 based on realistic size for area</t>
  </si>
  <si>
    <t>2 Nr Schools as per THC Policy on pupil numbers not as per Masterplan</t>
  </si>
  <si>
    <t>Whiteness - Football pitch; 1 Nr</t>
  </si>
  <si>
    <t>Whiteness - croquet</t>
  </si>
  <si>
    <t>Whiteness - sports pavillion, clubhouse</t>
  </si>
  <si>
    <t>Whiteness - car parking facilities; 375 cars</t>
  </si>
  <si>
    <t>New Wildlife / Landscape Corridors</t>
  </si>
  <si>
    <t>New Pedestrian / Cycle Routes</t>
  </si>
  <si>
    <t>Civic Structures / Public Art</t>
  </si>
  <si>
    <t>Total Cost</t>
  </si>
  <si>
    <t>Public Sector Contribution</t>
  </si>
  <si>
    <t>Developer Contribution</t>
  </si>
  <si>
    <t>Overall Totals (excluding specific contributions)</t>
  </si>
  <si>
    <t>Civic Structures/Public Art</t>
  </si>
  <si>
    <t>-</t>
  </si>
  <si>
    <t>Net Cost</t>
  </si>
  <si>
    <t>Whiteness - total area of retail space core only</t>
  </si>
  <si>
    <r>
      <t xml:space="preserve">Culloden; </t>
    </r>
    <r>
      <rPr>
        <sz val="8"/>
        <color indexed="10"/>
        <rFont val="Verdana"/>
        <family val="2"/>
      </rPr>
      <t>44 units</t>
    </r>
  </si>
  <si>
    <t xml:space="preserve">        EAST INVERNESS FRAMEWORK PLAN</t>
  </si>
  <si>
    <t xml:space="preserve">        NAIRN FRAMEWORK PLAN</t>
  </si>
  <si>
    <t xml:space="preserve">        EAST INVERNESS FRAMEWORK PLAN TOTAL</t>
  </si>
  <si>
    <t xml:space="preserve">        WHITENESS FRAMEWORK PLAN</t>
  </si>
  <si>
    <r>
      <t xml:space="preserve">ALL AREAS ARE GIFA (m2) AND ALL FIGURES EXCLUDE ACQUISITION COSTS BUT INCLUDES FEES                                                                                   </t>
    </r>
    <r>
      <rPr>
        <b/>
        <sz val="8"/>
        <color indexed="9"/>
        <rFont val="Verdana"/>
        <family val="2"/>
      </rPr>
      <t>Costs allocated to Corridor Wide Infrastructure</t>
    </r>
  </si>
  <si>
    <t>Masterplan Admin / Professional Fees</t>
  </si>
  <si>
    <t>A96 Corridor - Contribution Protocol Cost Allocation</t>
  </si>
  <si>
    <t>Bridges over A9 and local ammendments £5m - 60% of cost allocated</t>
  </si>
  <si>
    <t>Only Option - only CAPEX included</t>
  </si>
  <si>
    <t>Assumed included within Tornagrain Park as advised by Client 3/1/07</t>
  </si>
  <si>
    <t>Originally 3,000m2 area reduced by client 3/1/07 and allocation based on realistic area</t>
  </si>
  <si>
    <t>Assumed commercial offices; Area to be confirmed; EXCLUDED AS ADVISED BY CLIENT 3/1/07</t>
  </si>
  <si>
    <t>Basic changing facilities</t>
  </si>
  <si>
    <t>Whiteness - tennis courts; 3 Nr</t>
  </si>
  <si>
    <t>Whiteness - bowls; 1 Nr</t>
  </si>
  <si>
    <t>Whiteness - shell only</t>
  </si>
  <si>
    <t>Whiteness - water treatment works upgrading</t>
  </si>
  <si>
    <t>150km</t>
  </si>
  <si>
    <t>A96 Corridor - Contribution Protocol by Contributor</t>
  </si>
  <si>
    <r>
      <t xml:space="preserve">Beechwood - Castlehill; </t>
    </r>
    <r>
      <rPr>
        <sz val="8"/>
        <color indexed="10"/>
        <rFont val="Verdana"/>
        <family val="2"/>
      </rPr>
      <t>214 units</t>
    </r>
  </si>
  <si>
    <r>
      <t xml:space="preserve">Beechwood - Castlehill; </t>
    </r>
    <r>
      <rPr>
        <sz val="8"/>
        <color indexed="10"/>
        <rFont val="Verdana"/>
        <family val="2"/>
      </rPr>
      <t>1,000m2</t>
    </r>
  </si>
  <si>
    <r>
      <t xml:space="preserve">Nairn West; </t>
    </r>
    <r>
      <rPr>
        <sz val="8"/>
        <color indexed="10"/>
        <rFont val="Verdana"/>
        <family val="2"/>
      </rPr>
      <t>5,000m2; shell only - fit out by others</t>
    </r>
  </si>
  <si>
    <r>
      <t>Firhall;</t>
    </r>
    <r>
      <rPr>
        <sz val="8"/>
        <color indexed="10"/>
        <rFont val="Verdana"/>
        <family val="2"/>
      </rPr>
      <t xml:space="preserve"> 2,000m2; shell only - fit out by others</t>
    </r>
  </si>
  <si>
    <t>Inshes gyratory</t>
  </si>
  <si>
    <t xml:space="preserve">Bypass and Smithton Junction: 2.1km dual </t>
  </si>
  <si>
    <t>Bypass and Smithton Junction: 2.1km dual</t>
  </si>
  <si>
    <t>General Cycle Route allocation; 6km</t>
  </si>
  <si>
    <t>Standard grass playing fields</t>
  </si>
  <si>
    <t>Bus Interchange: 1 Nr</t>
  </si>
  <si>
    <t>Transport Scotland</t>
  </si>
  <si>
    <t>Nairn Bypass: 7km with 4 junctions and road bridge</t>
  </si>
  <si>
    <t>Inshes gyratory - 40% of costs allocated here</t>
  </si>
  <si>
    <t>Nairn Bypass: 7km with 4 junctions and road bridge; 40% of cost allocated here</t>
  </si>
  <si>
    <t>3 Nr 250 Pupil Primary Schools</t>
  </si>
  <si>
    <t>Medium specification as advised by Client 16/1/07</t>
  </si>
  <si>
    <t>Bowling pitches: 4 Nr</t>
  </si>
  <si>
    <t>Privately funded</t>
  </si>
  <si>
    <t>Recreation Centre: 1,000m2 [Privately funded]</t>
  </si>
  <si>
    <t>1 Nr 250 Pupil Primary Schools</t>
  </si>
  <si>
    <t>Medium specification</t>
  </si>
  <si>
    <t>Allocation for structural landscaping and environmental maintenance</t>
  </si>
  <si>
    <t>Whiteness water treatment works</t>
  </si>
  <si>
    <t>60% funded by Scottish Water as Part 4 asset; no allowance for recovery</t>
  </si>
  <si>
    <t>90% funded by Scottish Water as Part 4 asset; no allowance for recovery</t>
  </si>
  <si>
    <t>Civic structures / public art: moved to corridorwide framework</t>
  </si>
  <si>
    <t>Nairn - golf course</t>
  </si>
  <si>
    <t>EAST INVERNESS PLAN TOTAL</t>
  </si>
  <si>
    <t>NAIRN PLAN TOTAL</t>
  </si>
  <si>
    <t>CENTRAL PLAN TOTAL</t>
  </si>
  <si>
    <t>TORNAGRAIN PLAN TOTAL</t>
  </si>
  <si>
    <t>WHITENESS PLAN TOTAL</t>
  </si>
  <si>
    <t>60% of cost allocated for - 2.1km x £2,300,000 for road; £2,500,000 for bridge over rail; £2,000,000 for Smithton Junction</t>
  </si>
  <si>
    <t>Indicative Allowance - cost as advised SSE</t>
  </si>
  <si>
    <t>100% allocated for Regional Sports Complex allocated to Beechwood</t>
  </si>
  <si>
    <t>Cost of 100% of 2 Green Bridges plus 50% of 2 Green Bridges allocated to Beechwood</t>
  </si>
  <si>
    <t>7km at £2.3m/km plus £2.5m road bridge - 60% allocated here</t>
  </si>
  <si>
    <t>7km at £2.3m/km plus £2.5m road bridge - 40% allocated here</t>
  </si>
  <si>
    <t xml:space="preserve">2 rail bridges </t>
  </si>
  <si>
    <t xml:space="preserve">Transport Scotland </t>
  </si>
  <si>
    <t>Costs advised by Scottish Water</t>
  </si>
  <si>
    <t>Scottish Water - Wastewater Development</t>
  </si>
  <si>
    <t>Allowance based on information made available.  Provision at developers discretion</t>
  </si>
  <si>
    <t>60% assumed for local of which 50% allocated to Beechwood</t>
  </si>
  <si>
    <t>Public Sector Contributor</t>
  </si>
  <si>
    <t>100% of 2 Green Bridges plus 50% of 2 Green Bridges allocated to Beechwood; 50% of 2 Green Bridges allocated to East Inverness</t>
  </si>
  <si>
    <t>Note 1 Nr and not unit per 100m2</t>
  </si>
  <si>
    <t>Contribution to Corridor Wide Infrastructure per unit/per m2</t>
  </si>
  <si>
    <t>Contribution to Framework Plan Infrastructure per unit/per m2</t>
  </si>
  <si>
    <t>Contribution to TOTAL CORRIDOR Infrastructure per unit/per m2</t>
  </si>
  <si>
    <t>Smithton road upgrade</t>
  </si>
  <si>
    <t>Road upgrade 100% of cost allocated to local</t>
  </si>
  <si>
    <t>Amphitheatre and bandstand: 2 Nr - assumed within Tornagrain Park</t>
  </si>
  <si>
    <t>For administration and fees</t>
  </si>
  <si>
    <t>Sales income from existing Secondary School site not taken into account</t>
  </si>
  <si>
    <t>EXCLUDED as advised by client 22/1/07 - already negotiated development</t>
  </si>
  <si>
    <t>pp</t>
  </si>
  <si>
    <t>rr</t>
  </si>
  <si>
    <t>ss</t>
  </si>
  <si>
    <t>tt</t>
  </si>
  <si>
    <t>Medium specification; as advised by Client 3/1/07</t>
  </si>
  <si>
    <t>Shell only - EXCLUDED as advised by Client 22/1/07</t>
  </si>
  <si>
    <t>Green bridges</t>
  </si>
  <si>
    <t>100%</t>
  </si>
  <si>
    <t>of local contribution of £3m</t>
  </si>
  <si>
    <t>of two green bridges</t>
  </si>
  <si>
    <t>50%</t>
  </si>
  <si>
    <t>Regional sports complex</t>
  </si>
  <si>
    <t>40 hectares playing fields</t>
  </si>
  <si>
    <t>3000m2 sports pavilion</t>
  </si>
  <si>
    <t>Assumed commercial offices - EXCLUDED as advised by Client 22/1/07 - complex campus development</t>
  </si>
  <si>
    <t>As advised by Client 23/1/07</t>
  </si>
  <si>
    <t>BEECHWOOD FARM TOTAL</t>
  </si>
  <si>
    <t>1 Nr 1000 Pupil Secondary School in Tornagrain</t>
  </si>
  <si>
    <t>3 Nr Schools as per THC Policy on pupil numbers/Halcrow</t>
  </si>
  <si>
    <t>Allocation of 25% to Whiteness</t>
  </si>
  <si>
    <t>Allocation of 25% Tornagrain 1 Nr Secondary School</t>
  </si>
  <si>
    <t>Beechwood Farm - University Campus</t>
  </si>
  <si>
    <t>East Inverness Framework Plan</t>
  </si>
  <si>
    <t xml:space="preserve">Complex and diverse campus - contributions based upon </t>
  </si>
  <si>
    <t>trip rate calculation considered inappropriate therefore</t>
  </si>
  <si>
    <t xml:space="preserve">contributions to be made to specific items of </t>
  </si>
  <si>
    <t>infrastructure for the East Inverness Framework Plan.</t>
  </si>
  <si>
    <t>BEECHWOOD FARM - UNIVERSITY CAMPUS</t>
  </si>
  <si>
    <t>Totals Beechwood Farm specific contributions allocated</t>
  </si>
  <si>
    <t>uu</t>
  </si>
  <si>
    <t>vv</t>
  </si>
  <si>
    <t>ww</t>
  </si>
  <si>
    <t>xx</t>
  </si>
  <si>
    <t>yy</t>
  </si>
  <si>
    <t>Complex university campus contribution to East Inverness infrastructure</t>
  </si>
  <si>
    <t>Total Developer Cost (excluding specific contributions)</t>
  </si>
  <si>
    <t>Total Public Sector Cost (excluding specific contributions)</t>
  </si>
  <si>
    <t>Gas Supply Cost</t>
  </si>
  <si>
    <t>Gas Supply Cost including Grid Substation</t>
  </si>
  <si>
    <t>100% funded by SSE (£11.2m+10%) and developer outside s75 (£4m+10%)</t>
  </si>
  <si>
    <r>
      <t>Culloden Moor;</t>
    </r>
    <r>
      <rPr>
        <sz val="8"/>
        <color indexed="10"/>
        <rFont val="Verdana"/>
        <family val="2"/>
      </rPr>
      <t xml:space="preserve"> 252 units</t>
    </r>
  </si>
  <si>
    <t>Total no. of units</t>
  </si>
  <si>
    <t>A96 CORRIDOR</t>
  </si>
  <si>
    <t>Rebate per house (unit)</t>
  </si>
  <si>
    <t>Total rebate</t>
  </si>
  <si>
    <t>Units</t>
  </si>
  <si>
    <t>Rebate</t>
  </si>
  <si>
    <t>Abnormal ground conditions allowance; included within contingency of 10% as requested by Halcrow</t>
  </si>
  <si>
    <t>Shell only</t>
  </si>
  <si>
    <t>3 hectares; equated to 1,200 car parking spaces</t>
  </si>
  <si>
    <t>Visitor centre: 1,500m2</t>
  </si>
  <si>
    <t xml:space="preserve">Shell only - does not include specialist fit out </t>
  </si>
  <si>
    <t xml:space="preserve">Nairn West: 90 hectares </t>
  </si>
  <si>
    <t>No cost</t>
  </si>
  <si>
    <t>Bridges over A9 and local ammendments; 1 5,000,000</t>
  </si>
  <si>
    <t>As advised by Client 22/02/07 - Assumed not all new cycle paths</t>
  </si>
  <si>
    <t>Most expensive option chosen - CHECK VS WATER REPORT</t>
  </si>
  <si>
    <t>Electricity Supply Cost</t>
  </si>
  <si>
    <t>zz</t>
  </si>
  <si>
    <t>A96 Dualling</t>
  </si>
  <si>
    <t xml:space="preserve">Shell only </t>
  </si>
  <si>
    <t>Assumed 12m2 per pupil; includes full leisure facilities. Requirement for 1 secondary school based on Highland Council advice. £24m - 40% allocated here [60% cost allocated to Tornagrain]</t>
  </si>
  <si>
    <t>Assumed 12m2 per pupil; includes full leisure facilities. Requirement for 1 secondary school based on Highland Council advice. £24m - 40% cost allocated to Whiteness</t>
  </si>
  <si>
    <t>Woodland as advised by Client 22/2/07</t>
  </si>
  <si>
    <t>Whiteness - yacht club / marina facilities</t>
  </si>
  <si>
    <t>Local Play areas: 10 Nr - Excluded assumed pocket parks within residential</t>
  </si>
  <si>
    <t>3 hectares; equated to 1, 200 car parking spaces</t>
  </si>
  <si>
    <t>Included in Beechwood</t>
  </si>
  <si>
    <t>Total Contribution residential</t>
  </si>
  <si>
    <t>Total Contribution non-residential</t>
  </si>
  <si>
    <t>Non-residential costs reallocation factor</t>
  </si>
  <si>
    <t>Total residential %</t>
  </si>
  <si>
    <t>Check</t>
  </si>
  <si>
    <t>Total non residential contributions</t>
  </si>
  <si>
    <t>Required non-residential reallocation</t>
  </si>
  <si>
    <t>E Inv</t>
  </si>
  <si>
    <t>Nairn</t>
  </si>
  <si>
    <t>Central</t>
  </si>
  <si>
    <t>Total Residential</t>
  </si>
  <si>
    <t>Tornagrain</t>
  </si>
  <si>
    <t>Whiteness</t>
  </si>
  <si>
    <t xml:space="preserve">Use undefined </t>
  </si>
  <si>
    <t>Boutique Hotel: 4,000m2</t>
  </si>
  <si>
    <t>IABP: 24,000m2; 2 Nr branded hotels + 1 Nr four star hotel</t>
  </si>
  <si>
    <t>ADD COST</t>
  </si>
  <si>
    <r>
      <t xml:space="preserve">Croy; </t>
    </r>
    <r>
      <rPr>
        <sz val="8"/>
        <color indexed="10"/>
        <rFont val="Verdana"/>
        <family val="2"/>
      </rPr>
      <t>200 units</t>
    </r>
  </si>
  <si>
    <r>
      <t xml:space="preserve">Ardersier; </t>
    </r>
    <r>
      <rPr>
        <sz val="8"/>
        <color indexed="10"/>
        <rFont val="Verdana"/>
        <family val="2"/>
      </rPr>
      <t>131 units</t>
    </r>
  </si>
  <si>
    <r>
      <t xml:space="preserve">Cawdor; </t>
    </r>
    <r>
      <rPr>
        <sz val="8"/>
        <color indexed="10"/>
        <rFont val="Verdana"/>
        <family val="2"/>
      </rPr>
      <t>220 units</t>
    </r>
  </si>
  <si>
    <r>
      <t xml:space="preserve">Smithton; </t>
    </r>
    <r>
      <rPr>
        <sz val="8"/>
        <color indexed="10"/>
        <rFont val="Verdana"/>
        <family val="2"/>
      </rPr>
      <t>150 units</t>
    </r>
  </si>
  <si>
    <r>
      <t xml:space="preserve">Westhill; </t>
    </r>
    <r>
      <rPr>
        <sz val="8"/>
        <color indexed="10"/>
        <rFont val="Verdana"/>
        <family val="2"/>
      </rPr>
      <t>244 units</t>
    </r>
  </si>
  <si>
    <r>
      <t xml:space="preserve">Aldearn; </t>
    </r>
    <r>
      <rPr>
        <sz val="8"/>
        <color indexed="10"/>
        <rFont val="Verdana"/>
        <family val="2"/>
      </rPr>
      <t>211 units</t>
    </r>
  </si>
  <si>
    <r>
      <t xml:space="preserve">Kingsteps; </t>
    </r>
    <r>
      <rPr>
        <sz val="8"/>
        <color indexed="10"/>
        <rFont val="Verdana"/>
        <family val="2"/>
      </rPr>
      <t>25 units</t>
    </r>
  </si>
  <si>
    <t>4 Nr 200 Pupil Primary Schools</t>
  </si>
  <si>
    <t>1 Nr 800 Pupil Secondary School</t>
  </si>
  <si>
    <r>
      <t>Ashton;</t>
    </r>
    <r>
      <rPr>
        <sz val="8"/>
        <color indexed="14"/>
        <rFont val="Verdana"/>
        <family val="2"/>
      </rPr>
      <t xml:space="preserve"> </t>
    </r>
    <r>
      <rPr>
        <sz val="8"/>
        <color indexed="10"/>
        <rFont val="Verdana"/>
        <family val="2"/>
      </rPr>
      <t>14,000m2</t>
    </r>
  </si>
  <si>
    <r>
      <t>Beechwood Farm;</t>
    </r>
    <r>
      <rPr>
        <sz val="8"/>
        <color indexed="10"/>
        <rFont val="Verdana"/>
        <family val="2"/>
      </rPr>
      <t xml:space="preserve"> 51,000m2</t>
    </r>
  </si>
  <si>
    <r>
      <t xml:space="preserve">Beechwood Farm; </t>
    </r>
    <r>
      <rPr>
        <sz val="8"/>
        <color indexed="10"/>
        <rFont val="Verdana"/>
        <family val="2"/>
      </rPr>
      <t>7,000m2</t>
    </r>
  </si>
  <si>
    <r>
      <t>Ashton;</t>
    </r>
    <r>
      <rPr>
        <sz val="8"/>
        <color indexed="10"/>
        <rFont val="Verdana"/>
        <family val="2"/>
      </rPr>
      <t xml:space="preserve"> 21,000m2; hotel </t>
    </r>
  </si>
  <si>
    <r>
      <t xml:space="preserve">Castle Stuart; </t>
    </r>
    <r>
      <rPr>
        <sz val="8"/>
        <color indexed="10"/>
        <rFont val="Verdana"/>
        <family val="2"/>
      </rPr>
      <t xml:space="preserve">1,000m2; hotel </t>
    </r>
  </si>
  <si>
    <r>
      <t xml:space="preserve">Stratton; </t>
    </r>
    <r>
      <rPr>
        <sz val="8"/>
        <color indexed="10"/>
        <rFont val="Verdana"/>
        <family val="2"/>
      </rPr>
      <t>8,000m2; shell only - fit out by others</t>
    </r>
  </si>
  <si>
    <r>
      <t>Ashton;</t>
    </r>
    <r>
      <rPr>
        <sz val="8"/>
        <color indexed="14"/>
        <rFont val="Verdana"/>
        <family val="2"/>
      </rPr>
      <t xml:space="preserve"> </t>
    </r>
    <r>
      <rPr>
        <sz val="8"/>
        <color indexed="10"/>
        <rFont val="Verdana"/>
        <family val="2"/>
      </rPr>
      <t>14,000m2; shell only - fit out by others</t>
    </r>
  </si>
  <si>
    <r>
      <t xml:space="preserve">Stratton; </t>
    </r>
    <r>
      <rPr>
        <sz val="8"/>
        <color indexed="10"/>
        <rFont val="Verdana"/>
        <family val="2"/>
      </rPr>
      <t>9,000m2; shell only - fit out by others</t>
    </r>
  </si>
  <si>
    <r>
      <t xml:space="preserve">Westhill; </t>
    </r>
    <r>
      <rPr>
        <sz val="8"/>
        <color indexed="10"/>
        <rFont val="Verdana"/>
        <family val="2"/>
      </rPr>
      <t>1,000m2; shell only - fit out by others</t>
    </r>
  </si>
  <si>
    <r>
      <t>Tradespark;</t>
    </r>
    <r>
      <rPr>
        <sz val="8"/>
        <color indexed="10"/>
        <rFont val="Verdana"/>
        <family val="2"/>
      </rPr>
      <t xml:space="preserve"> 200 units</t>
    </r>
  </si>
  <si>
    <r>
      <t xml:space="preserve">Nairn Centre; </t>
    </r>
    <r>
      <rPr>
        <sz val="8"/>
        <color indexed="10"/>
        <rFont val="Verdana"/>
        <family val="2"/>
      </rPr>
      <t>6,000m2; shell only - fit out by others</t>
    </r>
  </si>
  <si>
    <r>
      <t xml:space="preserve">Nairn West; </t>
    </r>
    <r>
      <rPr>
        <sz val="8"/>
        <color indexed="10"/>
        <rFont val="Verdana"/>
        <family val="2"/>
      </rPr>
      <t>2,000m2</t>
    </r>
  </si>
  <si>
    <r>
      <t xml:space="preserve">Lochloy; </t>
    </r>
    <r>
      <rPr>
        <sz val="8"/>
        <color indexed="10"/>
        <rFont val="Verdana"/>
        <family val="2"/>
      </rPr>
      <t xml:space="preserve">4,000m2 </t>
    </r>
  </si>
  <si>
    <r>
      <t>Westhill;</t>
    </r>
    <r>
      <rPr>
        <sz val="8"/>
        <color indexed="10"/>
        <rFont val="Verdana"/>
        <family val="2"/>
      </rPr>
      <t xml:space="preserve"> 244 units</t>
    </r>
  </si>
  <si>
    <r>
      <t xml:space="preserve">Croy; </t>
    </r>
    <r>
      <rPr>
        <sz val="8"/>
        <color indexed="10"/>
        <rFont val="Verdana"/>
        <family val="2"/>
      </rPr>
      <t>1,000 m2</t>
    </r>
  </si>
  <si>
    <r>
      <t xml:space="preserve">Fisherton; </t>
    </r>
    <r>
      <rPr>
        <sz val="8"/>
        <color indexed="10"/>
        <rFont val="Verdana"/>
        <family val="2"/>
      </rPr>
      <t>2,000 m2</t>
    </r>
  </si>
  <si>
    <r>
      <t xml:space="preserve">Culloden; </t>
    </r>
    <r>
      <rPr>
        <sz val="8"/>
        <color indexed="10"/>
        <rFont val="Verdana"/>
        <family val="2"/>
      </rPr>
      <t>hotel</t>
    </r>
  </si>
  <si>
    <r>
      <t xml:space="preserve">Ardersier; </t>
    </r>
    <r>
      <rPr>
        <sz val="8"/>
        <color indexed="10"/>
        <rFont val="Verdana"/>
        <family val="2"/>
      </rPr>
      <t>1,000 m2</t>
    </r>
  </si>
  <si>
    <r>
      <t xml:space="preserve">Supermarket: 3,000m2; </t>
    </r>
    <r>
      <rPr>
        <sz val="8"/>
        <color indexed="10"/>
        <rFont val="Verdana"/>
        <family val="2"/>
      </rPr>
      <t>shell only fit out by others</t>
    </r>
  </si>
  <si>
    <r>
      <t xml:space="preserve">Airport; </t>
    </r>
    <r>
      <rPr>
        <sz val="8"/>
        <color indexed="10"/>
        <rFont val="Verdana"/>
        <family val="2"/>
      </rPr>
      <t>2,650m2</t>
    </r>
  </si>
  <si>
    <r>
      <t xml:space="preserve">Airport 2030: </t>
    </r>
    <r>
      <rPr>
        <sz val="8"/>
        <color indexed="10"/>
        <rFont val="Verdana"/>
        <family val="2"/>
      </rPr>
      <t>13,000m2</t>
    </r>
  </si>
  <si>
    <r>
      <t xml:space="preserve">Tornagrain; </t>
    </r>
    <r>
      <rPr>
        <sz val="8"/>
        <color indexed="10"/>
        <rFont val="Verdana"/>
        <family val="2"/>
      </rPr>
      <t>1,500m2; other retail assumed under 1000m2</t>
    </r>
  </si>
  <si>
    <t>2.1km x £2,300,000 for road; £2,500,000 for bridge over rail; £2,000,000 for Smithton Junction - 40% of cost allocated [Funded by Transport Scotland]</t>
  </si>
  <si>
    <t>100% local</t>
  </si>
  <si>
    <t>Bus park and ride as advised by Client based on similar scheme 22/02/07</t>
  </si>
  <si>
    <t>Low to medium specification as advised by Client 22/02/07</t>
  </si>
  <si>
    <t>Client assumed Travel Lodge type 22/02/07</t>
  </si>
  <si>
    <t>Excluded from cost allocation as advised by Client 22/02/07</t>
  </si>
  <si>
    <t xml:space="preserve">1 Nr Hotel </t>
  </si>
  <si>
    <t>Visitor centre</t>
  </si>
  <si>
    <r>
      <t xml:space="preserve">Tornagrain; </t>
    </r>
    <r>
      <rPr>
        <sz val="8"/>
        <color indexed="10"/>
        <rFont val="Verdana"/>
        <family val="2"/>
      </rPr>
      <t>1,500m2</t>
    </r>
  </si>
  <si>
    <r>
      <t xml:space="preserve">Culloden; </t>
    </r>
    <r>
      <rPr>
        <sz val="8"/>
        <color indexed="10"/>
        <rFont val="Verdana"/>
        <family val="2"/>
      </rPr>
      <t>15,000m2 hotel</t>
    </r>
  </si>
  <si>
    <r>
      <t xml:space="preserve">1 Nr Hotel </t>
    </r>
    <r>
      <rPr>
        <sz val="8"/>
        <color indexed="10"/>
        <rFont val="Verdana"/>
        <family val="2"/>
      </rPr>
      <t>- 9000m2</t>
    </r>
  </si>
  <si>
    <r>
      <t xml:space="preserve">Nairn West; </t>
    </r>
    <r>
      <rPr>
        <sz val="8"/>
        <color indexed="10"/>
        <rFont val="Verdana"/>
        <family val="2"/>
      </rPr>
      <t>5,000m2</t>
    </r>
  </si>
  <si>
    <r>
      <t>Firhall;</t>
    </r>
    <r>
      <rPr>
        <sz val="8"/>
        <color indexed="10"/>
        <rFont val="Verdana"/>
        <family val="2"/>
      </rPr>
      <t xml:space="preserve"> 2,000m2</t>
    </r>
  </si>
  <si>
    <r>
      <t xml:space="preserve">IABP: </t>
    </r>
    <r>
      <rPr>
        <sz val="8"/>
        <color indexed="10"/>
        <rFont val="Verdana"/>
        <family val="2"/>
      </rPr>
      <t>24,000m2</t>
    </r>
  </si>
  <si>
    <r>
      <t xml:space="preserve">Boutique Hotel: </t>
    </r>
    <r>
      <rPr>
        <sz val="8"/>
        <color indexed="10"/>
        <rFont val="Verdana"/>
        <family val="2"/>
      </rPr>
      <t>4,000m2</t>
    </r>
  </si>
  <si>
    <r>
      <t>IA Buisness Park;</t>
    </r>
    <r>
      <rPr>
        <sz val="8"/>
        <color indexed="10"/>
        <rFont val="Verdana"/>
        <family val="2"/>
      </rPr>
      <t xml:space="preserve"> 114,000m2</t>
    </r>
  </si>
  <si>
    <r>
      <t xml:space="preserve">IA Buisness Park; </t>
    </r>
    <r>
      <rPr>
        <sz val="8"/>
        <color indexed="10"/>
        <rFont val="Verdana"/>
        <family val="2"/>
      </rPr>
      <t>171,000m2</t>
    </r>
  </si>
  <si>
    <r>
      <t xml:space="preserve">IA Business Park; </t>
    </r>
    <r>
      <rPr>
        <sz val="8"/>
        <color indexed="10"/>
        <rFont val="Verdana"/>
        <family val="2"/>
      </rPr>
      <t>171,000m2</t>
    </r>
  </si>
  <si>
    <r>
      <t xml:space="preserve">IA Buisness Park; </t>
    </r>
    <r>
      <rPr>
        <sz val="8"/>
        <color indexed="10"/>
        <rFont val="Verdana"/>
        <family val="2"/>
      </rPr>
      <t>240m2</t>
    </r>
  </si>
  <si>
    <r>
      <t>IA Business Park;</t>
    </r>
    <r>
      <rPr>
        <sz val="8"/>
        <color indexed="10"/>
        <rFont val="Verdana"/>
        <family val="2"/>
      </rPr>
      <t xml:space="preserve"> 114,000m2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</si>
</sst>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&quot;£&quot;#,##0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#,##0.0"/>
    <numFmt numFmtId="174" formatCode="_-* #,##0.000_-;\-* #,##0.000_-;_-* &quot;-&quot;??_-;_-@_-"/>
    <numFmt numFmtId="175" formatCode="_-* #,##0.0000_-;\-* #,##0.0000_-;_-* &quot;-&quot;??_-;_-@_-"/>
    <numFmt numFmtId="176" formatCode="0.0%"/>
    <numFmt numFmtId="177" formatCode="0.000"/>
    <numFmt numFmtId="178" formatCode="_-&quot;£&quot;* #,##0.0_-;\-&quot;£&quot;* #,##0.0_-;_-&quot;£&quot;* &quot;-&quot;_-;_-@_-"/>
    <numFmt numFmtId="179" formatCode="_-&quot;£&quot;* #,##0.00_-;\-&quot;£&quot;* #,##0.00_-;_-&quot;£&quot;* &quot;-&quot;_-;_-@_-"/>
    <numFmt numFmtId="180" formatCode="0.000%"/>
    <numFmt numFmtId="181" formatCode="&quot;£&quot;#,##0.0"/>
    <numFmt numFmtId="182" formatCode="&quot;£&quot;#,##0.00"/>
  </numFmts>
  <fonts count="46">
    <font>
      <sz val="10"/>
      <name val="Arial"/>
      <family val="0"/>
    </font>
    <font>
      <sz val="12"/>
      <name val="Verdana"/>
      <family val="2"/>
    </font>
    <font>
      <sz val="14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4"/>
      <name val="Verdana"/>
      <family val="2"/>
    </font>
    <font>
      <u val="single"/>
      <sz val="8"/>
      <color indexed="9"/>
      <name val="Verdana"/>
      <family val="2"/>
    </font>
    <font>
      <sz val="8"/>
      <color indexed="9"/>
      <name val="Verdana"/>
      <family val="2"/>
    </font>
    <font>
      <sz val="16"/>
      <color indexed="9"/>
      <name val="Verdana"/>
      <family val="2"/>
    </font>
    <font>
      <sz val="8"/>
      <color indexed="10"/>
      <name val="Verdana"/>
      <family val="2"/>
    </font>
    <font>
      <sz val="12"/>
      <color indexed="56"/>
      <name val="Verdana"/>
      <family val="2"/>
    </font>
    <font>
      <sz val="12"/>
      <color indexed="10"/>
      <name val="Verdana"/>
      <family val="2"/>
    </font>
    <font>
      <i/>
      <sz val="12"/>
      <color indexed="56"/>
      <name val="Verdana"/>
      <family val="2"/>
    </font>
    <font>
      <sz val="7"/>
      <name val="Verdana"/>
      <family val="2"/>
    </font>
    <font>
      <b/>
      <sz val="8"/>
      <color indexed="10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8"/>
      <name val="Arial"/>
      <family val="0"/>
    </font>
    <font>
      <b/>
      <i/>
      <sz val="12"/>
      <color indexed="56"/>
      <name val="Verdana"/>
      <family val="2"/>
    </font>
    <font>
      <b/>
      <sz val="12"/>
      <color indexed="56"/>
      <name val="Verdana"/>
      <family val="2"/>
    </font>
    <font>
      <b/>
      <sz val="12"/>
      <color indexed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9"/>
      <name val="Verdana"/>
      <family val="2"/>
    </font>
    <font>
      <sz val="12"/>
      <color indexed="9"/>
      <name val="Verdana"/>
      <family val="2"/>
    </font>
    <font>
      <b/>
      <sz val="8"/>
      <color indexed="49"/>
      <name val="Verdana"/>
      <family val="2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b/>
      <sz val="9"/>
      <color indexed="10"/>
      <name val="Verdana"/>
      <family val="2"/>
    </font>
    <font>
      <b/>
      <sz val="14"/>
      <color indexed="18"/>
      <name val="Verdana"/>
      <family val="2"/>
    </font>
    <font>
      <sz val="10"/>
      <color indexed="10"/>
      <name val="Arial"/>
      <family val="0"/>
    </font>
    <font>
      <sz val="12"/>
      <color indexed="62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sz val="9"/>
      <name val="Verdana"/>
      <family val="2"/>
    </font>
    <font>
      <sz val="8"/>
      <color indexed="14"/>
      <name val="Verdan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NumberFormat="1" applyFont="1" applyBorder="1" applyAlignment="1">
      <alignment vertical="center" wrapText="1"/>
    </xf>
    <xf numFmtId="0" fontId="15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9" fontId="8" fillId="0" borderId="0" xfId="0" applyNumberFormat="1" applyFont="1" applyAlignment="1">
      <alignment vertical="center"/>
    </xf>
    <xf numFmtId="169" fontId="19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5" fontId="1" fillId="0" borderId="0" xfId="15" applyNumberFormat="1" applyFont="1" applyAlignment="1">
      <alignment horizontal="right" vertical="center"/>
    </xf>
    <xf numFmtId="5" fontId="8" fillId="0" borderId="3" xfId="15" applyNumberFormat="1" applyFont="1" applyFill="1" applyBorder="1" applyAlignment="1">
      <alignment horizontal="right" vertical="center"/>
    </xf>
    <xf numFmtId="5" fontId="21" fillId="0" borderId="0" xfId="15" applyNumberFormat="1" applyFont="1" applyAlignment="1">
      <alignment vertical="center"/>
    </xf>
    <xf numFmtId="5" fontId="22" fillId="0" borderId="0" xfId="15" applyNumberFormat="1" applyFont="1" applyAlignment="1">
      <alignment horizontal="right" vertical="center"/>
    </xf>
    <xf numFmtId="5" fontId="23" fillId="0" borderId="0" xfId="15" applyNumberFormat="1" applyFont="1" applyAlignment="1">
      <alignment horizontal="right" vertical="center"/>
    </xf>
    <xf numFmtId="5" fontId="6" fillId="2" borderId="3" xfId="15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169" fontId="3" fillId="0" borderId="0" xfId="0" applyNumberFormat="1" applyFont="1" applyAlignment="1">
      <alignment vertical="center"/>
    </xf>
    <xf numFmtId="169" fontId="13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5" fontId="13" fillId="0" borderId="0" xfId="15" applyNumberFormat="1" applyFont="1" applyFill="1" applyBorder="1" applyAlignment="1">
      <alignment horizontal="right" vertical="center" wrapText="1"/>
    </xf>
    <xf numFmtId="16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5" fontId="13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9" fillId="0" borderId="2" xfId="0" applyFont="1" applyBorder="1" applyAlignment="1">
      <alignment wrapText="1"/>
    </xf>
    <xf numFmtId="42" fontId="20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1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Alignment="1">
      <alignment/>
    </xf>
    <xf numFmtId="42" fontId="2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2" fontId="1" fillId="0" borderId="0" xfId="0" applyNumberFormat="1" applyFont="1" applyAlignment="1">
      <alignment wrapText="1"/>
    </xf>
    <xf numFmtId="4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2" fontId="3" fillId="0" borderId="0" xfId="0" applyNumberFormat="1" applyFont="1" applyFill="1" applyAlignment="1">
      <alignment/>
    </xf>
    <xf numFmtId="3" fontId="8" fillId="0" borderId="4" xfId="0" applyNumberFormat="1" applyFont="1" applyFill="1" applyBorder="1" applyAlignment="1">
      <alignment horizontal="right" vertical="center"/>
    </xf>
    <xf numFmtId="0" fontId="8" fillId="0" borderId="5" xfId="0" applyNumberFormat="1" applyFont="1" applyBorder="1" applyAlignment="1">
      <alignment vertical="center" wrapText="1"/>
    </xf>
    <xf numFmtId="0" fontId="15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8" fillId="0" borderId="5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8" fillId="0" borderId="9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vertical="center" wrapText="1"/>
    </xf>
    <xf numFmtId="0" fontId="15" fillId="0" borderId="9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5" fontId="8" fillId="0" borderId="15" xfId="15" applyNumberFormat="1" applyFont="1" applyBorder="1" applyAlignment="1">
      <alignment horizontal="right" vertical="center"/>
    </xf>
    <xf numFmtId="5" fontId="8" fillId="0" borderId="15" xfId="15" applyNumberFormat="1" applyFont="1" applyBorder="1" applyAlignment="1">
      <alignment horizontal="left" vertical="center" wrapText="1"/>
    </xf>
    <xf numFmtId="5" fontId="8" fillId="0" borderId="15" xfId="15" applyNumberFormat="1" applyFont="1" applyFill="1" applyBorder="1" applyAlignment="1">
      <alignment horizontal="right" vertical="center"/>
    </xf>
    <xf numFmtId="5" fontId="8" fillId="0" borderId="15" xfId="15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 quotePrefix="1">
      <alignment horizontal="right" vertical="center"/>
    </xf>
    <xf numFmtId="3" fontId="8" fillId="0" borderId="5" xfId="0" applyNumberFormat="1" applyFont="1" applyFill="1" applyBorder="1" applyAlignment="1" quotePrefix="1">
      <alignment horizontal="right" vertical="center"/>
    </xf>
    <xf numFmtId="3" fontId="8" fillId="0" borderId="4" xfId="0" applyNumberFormat="1" applyFont="1" applyFill="1" applyBorder="1" applyAlignment="1" quotePrefix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 quotePrefix="1">
      <alignment horizontal="right" vertical="center"/>
    </xf>
    <xf numFmtId="3" fontId="9" fillId="0" borderId="5" xfId="0" applyNumberFormat="1" applyFont="1" applyFill="1" applyBorder="1" applyAlignment="1" quotePrefix="1">
      <alignment horizontal="right"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8" fillId="0" borderId="11" xfId="0" applyNumberFormat="1" applyFont="1" applyBorder="1" applyAlignment="1" quotePrefix="1">
      <alignment horizontal="right" vertical="center" wrapText="1"/>
    </xf>
    <xf numFmtId="0" fontId="8" fillId="0" borderId="5" xfId="0" applyNumberFormat="1" applyFont="1" applyBorder="1" applyAlignment="1" quotePrefix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3" borderId="0" xfId="0" applyFont="1" applyFill="1" applyAlignment="1">
      <alignment vertical="center"/>
    </xf>
    <xf numFmtId="0" fontId="32" fillId="3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15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5" fontId="8" fillId="0" borderId="19" xfId="15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0" fontId="8" fillId="0" borderId="21" xfId="0" applyNumberFormat="1" applyFont="1" applyBorder="1" applyAlignment="1">
      <alignment vertical="center" wrapText="1"/>
    </xf>
    <xf numFmtId="0" fontId="15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9" fillId="0" borderId="21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0" fontId="16" fillId="0" borderId="23" xfId="0" applyFont="1" applyBorder="1" applyAlignment="1">
      <alignment vertical="center" wrapText="1"/>
    </xf>
    <xf numFmtId="3" fontId="9" fillId="0" borderId="24" xfId="0" applyNumberFormat="1" applyFont="1" applyFill="1" applyBorder="1" applyAlignment="1">
      <alignment horizontal="right" vertical="center"/>
    </xf>
    <xf numFmtId="0" fontId="8" fillId="0" borderId="24" xfId="0" applyNumberFormat="1" applyFont="1" applyBorder="1" applyAlignment="1">
      <alignment vertical="center" wrapText="1"/>
    </xf>
    <xf numFmtId="3" fontId="8" fillId="0" borderId="24" xfId="0" applyNumberFormat="1" applyFont="1" applyFill="1" applyBorder="1" applyAlignment="1">
      <alignment horizontal="right" vertical="center"/>
    </xf>
    <xf numFmtId="5" fontId="8" fillId="0" borderId="25" xfId="15" applyNumberFormat="1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NumberFormat="1" applyFont="1" applyBorder="1" applyAlignment="1">
      <alignment vertical="center" wrapText="1"/>
    </xf>
    <xf numFmtId="0" fontId="1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5" fontId="1" fillId="0" borderId="30" xfId="15" applyNumberFormat="1" applyFont="1" applyBorder="1" applyAlignment="1">
      <alignment horizontal="right" vertical="center"/>
    </xf>
    <xf numFmtId="0" fontId="11" fillId="0" borderId="26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5" fontId="1" fillId="0" borderId="14" xfId="15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NumberFormat="1" applyFont="1" applyBorder="1" applyAlignment="1">
      <alignment vertical="center" wrapText="1"/>
    </xf>
    <xf numFmtId="0" fontId="1" fillId="0" borderId="32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 quotePrefix="1">
      <alignment horizontal="right" vertical="center"/>
    </xf>
    <xf numFmtId="5" fontId="8" fillId="0" borderId="13" xfId="15" applyNumberFormat="1" applyFont="1" applyBorder="1" applyAlignment="1">
      <alignment horizontal="right" vertical="center"/>
    </xf>
    <xf numFmtId="5" fontId="8" fillId="0" borderId="13" xfId="15" applyNumberFormat="1" applyFont="1" applyBorder="1" applyAlignment="1">
      <alignment horizontal="left" vertical="center"/>
    </xf>
    <xf numFmtId="0" fontId="8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8" fillId="0" borderId="13" xfId="0" applyNumberFormat="1" applyFont="1" applyBorder="1" applyAlignment="1" quotePrefix="1">
      <alignment horizontal="right" vertical="center" wrapText="1"/>
    </xf>
    <xf numFmtId="5" fontId="8" fillId="0" borderId="13" xfId="15" applyNumberFormat="1" applyFont="1" applyFill="1" applyBorder="1" applyAlignment="1">
      <alignment horizontal="right" vertical="center"/>
    </xf>
    <xf numFmtId="0" fontId="16" fillId="0" borderId="36" xfId="0" applyFont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 quotePrefix="1">
      <alignment horizontal="right" vertical="center"/>
    </xf>
    <xf numFmtId="3" fontId="8" fillId="0" borderId="21" xfId="0" applyNumberFormat="1" applyFont="1" applyFill="1" applyBorder="1" applyAlignment="1" quotePrefix="1">
      <alignment horizontal="right" vertical="center"/>
    </xf>
    <xf numFmtId="0" fontId="31" fillId="3" borderId="39" xfId="0" applyFont="1" applyFill="1" applyBorder="1" applyAlignment="1">
      <alignment vertical="center" wrapText="1"/>
    </xf>
    <xf numFmtId="3" fontId="6" fillId="3" borderId="40" xfId="0" applyNumberFormat="1" applyFont="1" applyFill="1" applyBorder="1" applyAlignment="1">
      <alignment horizontal="right" vertical="center"/>
    </xf>
    <xf numFmtId="3" fontId="6" fillId="3" borderId="41" xfId="0" applyNumberFormat="1" applyFont="1" applyFill="1" applyBorder="1" applyAlignment="1">
      <alignment horizontal="right" vertical="center"/>
    </xf>
    <xf numFmtId="3" fontId="6" fillId="3" borderId="42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/>
    </xf>
    <xf numFmtId="3" fontId="6" fillId="3" borderId="44" xfId="0" applyNumberFormat="1" applyFont="1" applyFill="1" applyBorder="1" applyAlignment="1">
      <alignment vertical="center"/>
    </xf>
    <xf numFmtId="5" fontId="13" fillId="3" borderId="42" xfId="15" applyNumberFormat="1" applyFont="1" applyFill="1" applyBorder="1" applyAlignment="1">
      <alignment horizontal="right" vertical="center"/>
    </xf>
    <xf numFmtId="0" fontId="16" fillId="0" borderId="45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35" fillId="4" borderId="1" xfId="0" applyFont="1" applyFill="1" applyBorder="1" applyAlignment="1">
      <alignment vertical="center" wrapText="1"/>
    </xf>
    <xf numFmtId="0" fontId="15" fillId="0" borderId="48" xfId="0" applyNumberFormat="1" applyFont="1" applyBorder="1" applyAlignment="1">
      <alignment vertical="center"/>
    </xf>
    <xf numFmtId="169" fontId="8" fillId="0" borderId="32" xfId="0" applyNumberFormat="1" applyFont="1" applyBorder="1" applyAlignment="1">
      <alignment vertical="center"/>
    </xf>
    <xf numFmtId="0" fontId="35" fillId="4" borderId="2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8" fillId="0" borderId="49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 quotePrefix="1">
      <alignment horizontal="right" vertical="center"/>
    </xf>
    <xf numFmtId="3" fontId="8" fillId="0" borderId="50" xfId="0" applyNumberFormat="1" applyFont="1" applyBorder="1" applyAlignment="1">
      <alignment vertical="center"/>
    </xf>
    <xf numFmtId="3" fontId="8" fillId="0" borderId="51" xfId="0" applyNumberFormat="1" applyFont="1" applyFill="1" applyBorder="1" applyAlignment="1">
      <alignment horizontal="right" vertical="center"/>
    </xf>
    <xf numFmtId="5" fontId="8" fillId="0" borderId="50" xfId="15" applyNumberFormat="1" applyFont="1" applyFill="1" applyBorder="1" applyAlignment="1">
      <alignment horizontal="left" vertical="center" wrapText="1"/>
    </xf>
    <xf numFmtId="0" fontId="16" fillId="0" borderId="52" xfId="0" applyFont="1" applyBorder="1" applyAlignment="1">
      <alignment vertical="center" wrapText="1"/>
    </xf>
    <xf numFmtId="3" fontId="9" fillId="0" borderId="45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0" fontId="8" fillId="0" borderId="45" xfId="0" applyNumberFormat="1" applyFont="1" applyBorder="1" applyAlignment="1">
      <alignment vertical="center" wrapText="1"/>
    </xf>
    <xf numFmtId="0" fontId="8" fillId="0" borderId="34" xfId="0" applyNumberFormat="1" applyFont="1" applyBorder="1" applyAlignment="1">
      <alignment vertical="center" wrapText="1"/>
    </xf>
    <xf numFmtId="0" fontId="8" fillId="0" borderId="35" xfId="0" applyNumberFormat="1" applyFont="1" applyBorder="1" applyAlignment="1">
      <alignment vertical="center" wrapText="1"/>
    </xf>
    <xf numFmtId="3" fontId="8" fillId="0" borderId="45" xfId="0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46" xfId="0" applyNumberFormat="1" applyFont="1" applyBorder="1" applyAlignment="1">
      <alignment vertical="center"/>
    </xf>
    <xf numFmtId="5" fontId="8" fillId="0" borderId="46" xfId="15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/>
    </xf>
    <xf numFmtId="0" fontId="9" fillId="0" borderId="48" xfId="0" applyFont="1" applyBorder="1" applyAlignment="1">
      <alignment wrapText="1"/>
    </xf>
    <xf numFmtId="42" fontId="20" fillId="0" borderId="4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9" fillId="0" borderId="55" xfId="0" applyNumberFormat="1" applyFont="1" applyBorder="1" applyAlignment="1">
      <alignment horizontal="right"/>
    </xf>
    <xf numFmtId="0" fontId="11" fillId="0" borderId="9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3" fontId="20" fillId="0" borderId="10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11" fillId="0" borderId="28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5" fontId="1" fillId="0" borderId="29" xfId="15" applyNumberFormat="1" applyFont="1" applyBorder="1" applyAlignment="1">
      <alignment horizontal="right" vertical="center"/>
    </xf>
    <xf numFmtId="169" fontId="8" fillId="0" borderId="30" xfId="0" applyNumberFormat="1" applyFont="1" applyBorder="1" applyAlignment="1">
      <alignment vertical="center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wrapText="1"/>
    </xf>
    <xf numFmtId="3" fontId="20" fillId="0" borderId="56" xfId="0" applyNumberFormat="1" applyFont="1" applyFill="1" applyBorder="1" applyAlignment="1">
      <alignment horizontal="right"/>
    </xf>
    <xf numFmtId="0" fontId="20" fillId="0" borderId="58" xfId="0" applyFont="1" applyFill="1" applyBorder="1" applyAlignment="1">
      <alignment wrapText="1"/>
    </xf>
    <xf numFmtId="42" fontId="20" fillId="0" borderId="58" xfId="0" applyNumberFormat="1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3" fontId="20" fillId="0" borderId="61" xfId="0" applyNumberFormat="1" applyFont="1" applyFill="1" applyBorder="1" applyAlignment="1">
      <alignment horizontal="right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Fill="1" applyBorder="1" applyAlignment="1">
      <alignment wrapText="1"/>
    </xf>
    <xf numFmtId="42" fontId="20" fillId="0" borderId="16" xfId="0" applyNumberFormat="1" applyFont="1" applyFill="1" applyBorder="1" applyAlignment="1">
      <alignment wrapText="1"/>
    </xf>
    <xf numFmtId="3" fontId="20" fillId="0" borderId="65" xfId="0" applyNumberFormat="1" applyFont="1" applyFill="1" applyBorder="1" applyAlignment="1">
      <alignment horizontal="right"/>
    </xf>
    <xf numFmtId="0" fontId="20" fillId="0" borderId="66" xfId="0" applyFont="1" applyFill="1" applyBorder="1" applyAlignment="1">
      <alignment horizontal="center"/>
    </xf>
    <xf numFmtId="42" fontId="6" fillId="5" borderId="32" xfId="0" applyNumberFormat="1" applyFont="1" applyFill="1" applyBorder="1" applyAlignment="1">
      <alignment horizontal="left" wrapText="1"/>
    </xf>
    <xf numFmtId="0" fontId="6" fillId="5" borderId="67" xfId="0" applyFont="1" applyFill="1" applyBorder="1" applyAlignment="1">
      <alignment horizontal="left" wrapText="1"/>
    </xf>
    <xf numFmtId="42" fontId="6" fillId="5" borderId="59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0" fillId="0" borderId="6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35" fillId="4" borderId="54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42" fontId="9" fillId="0" borderId="11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vertical="top"/>
    </xf>
    <xf numFmtId="0" fontId="34" fillId="2" borderId="48" xfId="0" applyFont="1" applyFill="1" applyBorder="1" applyAlignment="1">
      <alignment wrapText="1"/>
    </xf>
    <xf numFmtId="0" fontId="6" fillId="2" borderId="54" xfId="0" applyFont="1" applyFill="1" applyBorder="1" applyAlignment="1">
      <alignment wrapText="1"/>
    </xf>
    <xf numFmtId="42" fontId="6" fillId="2" borderId="54" xfId="0" applyNumberFormat="1" applyFont="1" applyFill="1" applyBorder="1" applyAlignment="1">
      <alignment horizontal="right" vertical="top" wrapText="1"/>
    </xf>
    <xf numFmtId="3" fontId="6" fillId="2" borderId="54" xfId="0" applyNumberFormat="1" applyFont="1" applyFill="1" applyBorder="1" applyAlignment="1">
      <alignment horizontal="right" vertical="top" wrapText="1"/>
    </xf>
    <xf numFmtId="3" fontId="6" fillId="2" borderId="55" xfId="0" applyNumberFormat="1" applyFont="1" applyFill="1" applyBorder="1" applyAlignment="1">
      <alignment horizontal="right" vertical="top" wrapText="1"/>
    </xf>
    <xf numFmtId="0" fontId="6" fillId="2" borderId="31" xfId="0" applyFont="1" applyFill="1" applyBorder="1" applyAlignment="1">
      <alignment/>
    </xf>
    <xf numFmtId="0" fontId="34" fillId="2" borderId="67" xfId="0" applyFont="1" applyFill="1" applyBorder="1" applyAlignment="1">
      <alignment wrapText="1"/>
    </xf>
    <xf numFmtId="0" fontId="6" fillId="2" borderId="59" xfId="0" applyFont="1" applyFill="1" applyBorder="1" applyAlignment="1">
      <alignment wrapText="1"/>
    </xf>
    <xf numFmtId="42" fontId="6" fillId="2" borderId="59" xfId="0" applyNumberFormat="1" applyFont="1" applyFill="1" applyBorder="1" applyAlignment="1">
      <alignment wrapText="1"/>
    </xf>
    <xf numFmtId="42" fontId="6" fillId="2" borderId="59" xfId="0" applyNumberFormat="1" applyFont="1" applyFill="1" applyBorder="1" applyAlignment="1">
      <alignment horizontal="right" vertical="top" wrapText="1"/>
    </xf>
    <xf numFmtId="0" fontId="6" fillId="2" borderId="59" xfId="0" applyFont="1" applyFill="1" applyBorder="1" applyAlignment="1">
      <alignment horizontal="right" vertical="top" wrapText="1"/>
    </xf>
    <xf numFmtId="0" fontId="6" fillId="2" borderId="72" xfId="0" applyFont="1" applyFill="1" applyBorder="1" applyAlignment="1">
      <alignment horizontal="right" vertical="top" wrapText="1"/>
    </xf>
    <xf numFmtId="0" fontId="6" fillId="5" borderId="17" xfId="0" applyFont="1" applyFill="1" applyBorder="1" applyAlignment="1">
      <alignment horizontal="center"/>
    </xf>
    <xf numFmtId="0" fontId="35" fillId="5" borderId="18" xfId="0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center"/>
    </xf>
    <xf numFmtId="0" fontId="9" fillId="0" borderId="74" xfId="0" applyFont="1" applyFill="1" applyBorder="1" applyAlignment="1">
      <alignment wrapText="1"/>
    </xf>
    <xf numFmtId="42" fontId="9" fillId="0" borderId="74" xfId="0" applyNumberFormat="1" applyFont="1" applyFill="1" applyBorder="1" applyAlignment="1">
      <alignment wrapText="1"/>
    </xf>
    <xf numFmtId="42" fontId="9" fillId="0" borderId="74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3" fontId="9" fillId="0" borderId="75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1" xfId="0" applyNumberFormat="1" applyFont="1" applyBorder="1" applyAlignment="1">
      <alignment vertical="center"/>
    </xf>
    <xf numFmtId="3" fontId="20" fillId="0" borderId="67" xfId="0" applyNumberFormat="1" applyFont="1" applyFill="1" applyBorder="1" applyAlignment="1">
      <alignment horizontal="right" vertical="center"/>
    </xf>
    <xf numFmtId="3" fontId="20" fillId="0" borderId="59" xfId="0" applyNumberFormat="1" applyFont="1" applyBorder="1" applyAlignment="1">
      <alignment vertical="center"/>
    </xf>
    <xf numFmtId="3" fontId="8" fillId="0" borderId="47" xfId="0" applyNumberFormat="1" applyFont="1" applyFill="1" applyBorder="1" applyAlignment="1">
      <alignment horizontal="right" vertical="center"/>
    </xf>
    <xf numFmtId="3" fontId="9" fillId="0" borderId="47" xfId="0" applyNumberFormat="1" applyFont="1" applyBorder="1" applyAlignment="1">
      <alignment vertical="center"/>
    </xf>
    <xf numFmtId="0" fontId="8" fillId="0" borderId="76" xfId="0" applyNumberFormat="1" applyFont="1" applyBorder="1" applyAlignment="1">
      <alignment vertical="center" wrapText="1"/>
    </xf>
    <xf numFmtId="0" fontId="15" fillId="0" borderId="76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5" fontId="8" fillId="0" borderId="10" xfId="15" applyNumberFormat="1" applyFont="1" applyBorder="1" applyAlignment="1">
      <alignment horizontal="left" vertical="center" wrapText="1"/>
    </xf>
    <xf numFmtId="5" fontId="8" fillId="0" borderId="12" xfId="15" applyNumberFormat="1" applyFont="1" applyBorder="1" applyAlignment="1">
      <alignment horizontal="left" vertical="center"/>
    </xf>
    <xf numFmtId="0" fontId="6" fillId="3" borderId="18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12" fillId="2" borderId="54" xfId="0" applyNumberFormat="1" applyFont="1" applyFill="1" applyBorder="1" applyAlignment="1">
      <alignment vertical="center" wrapText="1"/>
    </xf>
    <xf numFmtId="3" fontId="13" fillId="2" borderId="54" xfId="0" applyNumberFormat="1" applyFont="1" applyFill="1" applyBorder="1" applyAlignment="1">
      <alignment horizontal="right" vertical="center" wrapText="1"/>
    </xf>
    <xf numFmtId="0" fontId="13" fillId="2" borderId="54" xfId="0" applyNumberFormat="1" applyFont="1" applyFill="1" applyBorder="1" applyAlignment="1">
      <alignment horizontal="right" vertical="center" wrapText="1"/>
    </xf>
    <xf numFmtId="0" fontId="13" fillId="2" borderId="31" xfId="0" applyFont="1" applyFill="1" applyBorder="1" applyAlignment="1">
      <alignment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/>
    </xf>
    <xf numFmtId="5" fontId="8" fillId="0" borderId="12" xfId="15" applyNumberFormat="1" applyFont="1" applyBorder="1" applyAlignment="1">
      <alignment horizontal="left" vertical="center" wrapText="1"/>
    </xf>
    <xf numFmtId="3" fontId="20" fillId="0" borderId="78" xfId="0" applyNumberFormat="1" applyFont="1" applyBorder="1" applyAlignment="1">
      <alignment vertical="center" wrapText="1"/>
    </xf>
    <xf numFmtId="3" fontId="9" fillId="0" borderId="43" xfId="0" applyNumberFormat="1" applyFont="1" applyBorder="1" applyAlignment="1">
      <alignment vertical="center" wrapText="1"/>
    </xf>
    <xf numFmtId="3" fontId="9" fillId="0" borderId="43" xfId="0" applyNumberFormat="1" applyFont="1" applyFill="1" applyBorder="1" applyAlignment="1">
      <alignment horizontal="right" vertical="center"/>
    </xf>
    <xf numFmtId="3" fontId="20" fillId="0" borderId="78" xfId="0" applyNumberFormat="1" applyFont="1" applyFill="1" applyBorder="1" applyAlignment="1">
      <alignment horizontal="right" vertical="center"/>
    </xf>
    <xf numFmtId="0" fontId="16" fillId="0" borderId="53" xfId="0" applyFont="1" applyBorder="1" applyAlignment="1">
      <alignment vertical="center" wrapText="1"/>
    </xf>
    <xf numFmtId="3" fontId="8" fillId="0" borderId="54" xfId="0" applyNumberFormat="1" applyFont="1" applyFill="1" applyBorder="1" applyAlignment="1">
      <alignment horizontal="right" vertical="center"/>
    </xf>
    <xf numFmtId="0" fontId="8" fillId="0" borderId="48" xfId="0" applyNumberFormat="1" applyFont="1" applyBorder="1" applyAlignment="1">
      <alignment vertical="center" wrapText="1"/>
    </xf>
    <xf numFmtId="3" fontId="9" fillId="0" borderId="54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8" fillId="0" borderId="79" xfId="0" applyFont="1" applyFill="1" applyBorder="1" applyAlignment="1">
      <alignment vertical="center" wrapText="1"/>
    </xf>
    <xf numFmtId="3" fontId="8" fillId="0" borderId="59" xfId="0" applyNumberFormat="1" applyFont="1" applyFill="1" applyBorder="1" applyAlignment="1">
      <alignment horizontal="right"/>
    </xf>
    <xf numFmtId="0" fontId="8" fillId="0" borderId="80" xfId="0" applyNumberFormat="1" applyFont="1" applyBorder="1" applyAlignment="1">
      <alignment vertical="center" wrapText="1"/>
    </xf>
    <xf numFmtId="3" fontId="9" fillId="0" borderId="81" xfId="0" applyNumberFormat="1" applyFont="1" applyBorder="1" applyAlignment="1">
      <alignment vertical="center"/>
    </xf>
    <xf numFmtId="0" fontId="15" fillId="0" borderId="80" xfId="0" applyNumberFormat="1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9" fillId="0" borderId="76" xfId="0" applyNumberFormat="1" applyFont="1" applyFill="1" applyBorder="1" applyAlignment="1">
      <alignment horizontal="right" vertical="center"/>
    </xf>
    <xf numFmtId="3" fontId="8" fillId="0" borderId="76" xfId="0" applyNumberFormat="1" applyFont="1" applyFill="1" applyBorder="1" applyAlignment="1">
      <alignment horizontal="right" vertical="center"/>
    </xf>
    <xf numFmtId="5" fontId="8" fillId="0" borderId="12" xfId="15" applyNumberFormat="1" applyFont="1" applyFill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5" fontId="8" fillId="0" borderId="83" xfId="15" applyNumberFormat="1" applyFont="1" applyFill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3" fontId="6" fillId="3" borderId="41" xfId="0" applyNumberFormat="1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vertical="center" wrapText="1"/>
    </xf>
    <xf numFmtId="0" fontId="8" fillId="0" borderId="32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2" xfId="0" applyFont="1" applyBorder="1" applyAlignment="1">
      <alignment horizontal="left" vertical="center"/>
    </xf>
    <xf numFmtId="169" fontId="13" fillId="2" borderId="30" xfId="0" applyNumberFormat="1" applyFont="1" applyFill="1" applyBorder="1" applyAlignment="1">
      <alignment horizontal="left" vertical="center" wrapText="1"/>
    </xf>
    <xf numFmtId="169" fontId="13" fillId="2" borderId="62" xfId="0" applyNumberFormat="1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vertical="center" wrapText="1"/>
    </xf>
    <xf numFmtId="0" fontId="35" fillId="4" borderId="18" xfId="0" applyFont="1" applyFill="1" applyBorder="1" applyAlignment="1">
      <alignment vertical="center" wrapText="1"/>
    </xf>
    <xf numFmtId="0" fontId="35" fillId="4" borderId="19" xfId="0" applyFont="1" applyFill="1" applyBorder="1" applyAlignment="1">
      <alignment vertical="center" wrapText="1"/>
    </xf>
    <xf numFmtId="0" fontId="35" fillId="4" borderId="54" xfId="0" applyFont="1" applyFill="1" applyBorder="1" applyAlignment="1">
      <alignment vertical="center" wrapText="1"/>
    </xf>
    <xf numFmtId="3" fontId="20" fillId="0" borderId="70" xfId="0" applyNumberFormat="1" applyFont="1" applyFill="1" applyBorder="1" applyAlignment="1">
      <alignment vertical="center" wrapText="1"/>
    </xf>
    <xf numFmtId="0" fontId="35" fillId="3" borderId="17" xfId="0" applyFont="1" applyFill="1" applyBorder="1" applyAlignment="1">
      <alignment vertical="center" wrapText="1"/>
    </xf>
    <xf numFmtId="0" fontId="31" fillId="3" borderId="40" xfId="0" applyFont="1" applyFill="1" applyBorder="1" applyAlignment="1">
      <alignment vertical="center" wrapText="1"/>
    </xf>
    <xf numFmtId="0" fontId="31" fillId="3" borderId="84" xfId="0" applyFont="1" applyFill="1" applyBorder="1" applyAlignment="1">
      <alignment vertical="center" wrapText="1"/>
    </xf>
    <xf numFmtId="0" fontId="36" fillId="0" borderId="85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right" vertical="center"/>
    </xf>
    <xf numFmtId="3" fontId="20" fillId="0" borderId="84" xfId="0" applyNumberFormat="1" applyFont="1" applyFill="1" applyBorder="1" applyAlignment="1">
      <alignment horizontal="right" vertical="center"/>
    </xf>
    <xf numFmtId="5" fontId="13" fillId="0" borderId="62" xfId="15" applyNumberFormat="1" applyFont="1" applyFill="1" applyBorder="1" applyAlignment="1">
      <alignment horizontal="right" vertical="center"/>
    </xf>
    <xf numFmtId="3" fontId="20" fillId="0" borderId="86" xfId="0" applyNumberFormat="1" applyFont="1" applyFill="1" applyBorder="1" applyAlignment="1">
      <alignment vertical="center"/>
    </xf>
    <xf numFmtId="0" fontId="36" fillId="0" borderId="31" xfId="0" applyFont="1" applyFill="1" applyBorder="1" applyAlignment="1">
      <alignment vertical="center" wrapText="1"/>
    </xf>
    <xf numFmtId="3" fontId="6" fillId="3" borderId="40" xfId="0" applyNumberFormat="1" applyFont="1" applyFill="1" applyBorder="1" applyAlignment="1">
      <alignment vertical="center" wrapText="1"/>
    </xf>
    <xf numFmtId="3" fontId="6" fillId="3" borderId="43" xfId="0" applyNumberFormat="1" applyFont="1" applyFill="1" applyBorder="1" applyAlignment="1">
      <alignment vertical="center" wrapText="1"/>
    </xf>
    <xf numFmtId="3" fontId="6" fillId="3" borderId="87" xfId="0" applyNumberFormat="1" applyFont="1" applyFill="1" applyBorder="1" applyAlignment="1">
      <alignment vertical="center" wrapText="1"/>
    </xf>
    <xf numFmtId="3" fontId="6" fillId="3" borderId="42" xfId="0" applyNumberFormat="1" applyFont="1" applyFill="1" applyBorder="1" applyAlignment="1">
      <alignment vertical="center" wrapText="1"/>
    </xf>
    <xf numFmtId="5" fontId="13" fillId="3" borderId="44" xfId="15" applyNumberFormat="1" applyFont="1" applyFill="1" applyBorder="1" applyAlignment="1">
      <alignment horizontal="right" vertical="center"/>
    </xf>
    <xf numFmtId="0" fontId="36" fillId="0" borderId="68" xfId="0" applyFont="1" applyFill="1" applyBorder="1" applyAlignment="1">
      <alignment vertical="center" wrapText="1"/>
    </xf>
    <xf numFmtId="3" fontId="20" fillId="0" borderId="85" xfId="0" applyNumberFormat="1" applyFont="1" applyFill="1" applyBorder="1" applyAlignment="1">
      <alignment horizontal="right" vertical="center"/>
    </xf>
    <xf numFmtId="3" fontId="20" fillId="0" borderId="88" xfId="0" applyNumberFormat="1" applyFont="1" applyFill="1" applyBorder="1" applyAlignment="1">
      <alignment vertical="center"/>
    </xf>
    <xf numFmtId="5" fontId="13" fillId="0" borderId="71" xfId="15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3" fontId="6" fillId="3" borderId="87" xfId="0" applyNumberFormat="1" applyFont="1" applyFill="1" applyBorder="1" applyAlignment="1">
      <alignment horizontal="right" vertical="center"/>
    </xf>
    <xf numFmtId="3" fontId="20" fillId="0" borderId="69" xfId="0" applyNumberFormat="1" applyFont="1" applyFill="1" applyBorder="1" applyAlignment="1">
      <alignment horizontal="right" vertical="center"/>
    </xf>
    <xf numFmtId="3" fontId="20" fillId="0" borderId="71" xfId="0" applyNumberFormat="1" applyFont="1" applyFill="1" applyBorder="1" applyAlignment="1">
      <alignment horizontal="right" vertical="center"/>
    </xf>
    <xf numFmtId="0" fontId="35" fillId="3" borderId="18" xfId="0" applyFont="1" applyFill="1" applyBorder="1" applyAlignment="1">
      <alignment vertical="center" wrapText="1"/>
    </xf>
    <xf numFmtId="0" fontId="35" fillId="3" borderId="19" xfId="0" applyFont="1" applyFill="1" applyBorder="1" applyAlignment="1">
      <alignment vertical="center" wrapText="1"/>
    </xf>
    <xf numFmtId="3" fontId="20" fillId="0" borderId="89" xfId="0" applyNumberFormat="1" applyFont="1" applyFill="1" applyBorder="1" applyAlignment="1">
      <alignment vertical="center"/>
    </xf>
    <xf numFmtId="3" fontId="6" fillId="3" borderId="39" xfId="0" applyNumberFormat="1" applyFont="1" applyFill="1" applyBorder="1" applyAlignment="1">
      <alignment horizontal="right" vertical="center"/>
    </xf>
    <xf numFmtId="3" fontId="6" fillId="3" borderId="90" xfId="0" applyNumberFormat="1" applyFont="1" applyFill="1" applyBorder="1" applyAlignment="1">
      <alignment horizontal="right" vertical="center"/>
    </xf>
    <xf numFmtId="3" fontId="6" fillId="3" borderId="90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horizontal="right"/>
    </xf>
    <xf numFmtId="3" fontId="20" fillId="0" borderId="70" xfId="0" applyNumberFormat="1" applyFont="1" applyFill="1" applyBorder="1" applyAlignment="1">
      <alignment horizontal="right" vertical="center"/>
    </xf>
    <xf numFmtId="3" fontId="20" fillId="0" borderId="62" xfId="0" applyNumberFormat="1" applyFont="1" applyFill="1" applyBorder="1" applyAlignment="1">
      <alignment horizontal="right" vertical="center"/>
    </xf>
    <xf numFmtId="0" fontId="9" fillId="0" borderId="91" xfId="0" applyFont="1" applyBorder="1" applyAlignment="1">
      <alignment wrapText="1"/>
    </xf>
    <xf numFmtId="42" fontId="9" fillId="0" borderId="29" xfId="0" applyNumberFormat="1" applyFont="1" applyBorder="1" applyAlignment="1">
      <alignment wrapText="1"/>
    </xf>
    <xf numFmtId="0" fontId="9" fillId="0" borderId="8" xfId="0" applyFont="1" applyBorder="1" applyAlignment="1">
      <alignment wrapText="1"/>
    </xf>
    <xf numFmtId="42" fontId="9" fillId="0" borderId="0" xfId="0" applyNumberFormat="1" applyFont="1" applyBorder="1" applyAlignment="1">
      <alignment wrapText="1"/>
    </xf>
    <xf numFmtId="0" fontId="9" fillId="0" borderId="92" xfId="0" applyFont="1" applyBorder="1" applyAlignment="1">
      <alignment wrapText="1"/>
    </xf>
    <xf numFmtId="42" fontId="9" fillId="0" borderId="32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27" fillId="0" borderId="93" xfId="0" applyFont="1" applyBorder="1" applyAlignment="1">
      <alignment wrapText="1"/>
    </xf>
    <xf numFmtId="0" fontId="27" fillId="0" borderId="94" xfId="0" applyFont="1" applyBorder="1" applyAlignment="1">
      <alignment wrapText="1"/>
    </xf>
    <xf numFmtId="0" fontId="27" fillId="0" borderId="95" xfId="0" applyFont="1" applyBorder="1" applyAlignment="1">
      <alignment wrapText="1"/>
    </xf>
    <xf numFmtId="0" fontId="9" fillId="0" borderId="96" xfId="0" applyFont="1" applyFill="1" applyBorder="1" applyAlignment="1">
      <alignment wrapText="1"/>
    </xf>
    <xf numFmtId="42" fontId="9" fillId="0" borderId="96" xfId="0" applyNumberFormat="1" applyFont="1" applyFill="1" applyBorder="1" applyAlignment="1">
      <alignment wrapText="1"/>
    </xf>
    <xf numFmtId="42" fontId="9" fillId="0" borderId="96" xfId="0" applyNumberFormat="1" applyFont="1" applyFill="1" applyBorder="1" applyAlignment="1">
      <alignment/>
    </xf>
    <xf numFmtId="3" fontId="9" fillId="0" borderId="96" xfId="0" applyNumberFormat="1" applyFont="1" applyFill="1" applyBorder="1" applyAlignment="1">
      <alignment/>
    </xf>
    <xf numFmtId="3" fontId="9" fillId="0" borderId="97" xfId="0" applyNumberFormat="1" applyFont="1" applyFill="1" applyBorder="1" applyAlignment="1">
      <alignment horizontal="right"/>
    </xf>
    <xf numFmtId="0" fontId="27" fillId="0" borderId="98" xfId="0" applyFont="1" applyFill="1" applyBorder="1" applyAlignment="1">
      <alignment wrapText="1"/>
    </xf>
    <xf numFmtId="0" fontId="27" fillId="0" borderId="96" xfId="0" applyFont="1" applyFill="1" applyBorder="1" applyAlignment="1">
      <alignment wrapText="1"/>
    </xf>
    <xf numFmtId="0" fontId="27" fillId="0" borderId="97" xfId="0" applyFont="1" applyFill="1" applyBorder="1" applyAlignment="1">
      <alignment wrapText="1"/>
    </xf>
    <xf numFmtId="0" fontId="26" fillId="0" borderId="96" xfId="0" applyFont="1" applyFill="1" applyBorder="1" applyAlignment="1">
      <alignment wrapText="1"/>
    </xf>
    <xf numFmtId="42" fontId="26" fillId="0" borderId="96" xfId="0" applyNumberFormat="1" applyFont="1" applyFill="1" applyBorder="1" applyAlignment="1">
      <alignment wrapText="1"/>
    </xf>
    <xf numFmtId="0" fontId="35" fillId="4" borderId="17" xfId="0" applyFont="1" applyFill="1" applyBorder="1" applyAlignment="1">
      <alignment wrapText="1"/>
    </xf>
    <xf numFmtId="0" fontId="35" fillId="4" borderId="18" xfId="0" applyFont="1" applyFill="1" applyBorder="1" applyAlignment="1">
      <alignment wrapText="1"/>
    </xf>
    <xf numFmtId="0" fontId="35" fillId="4" borderId="19" xfId="0" applyFont="1" applyFill="1" applyBorder="1" applyAlignment="1">
      <alignment wrapText="1"/>
    </xf>
    <xf numFmtId="0" fontId="8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wrapText="1"/>
    </xf>
    <xf numFmtId="42" fontId="10" fillId="4" borderId="18" xfId="0" applyNumberFormat="1" applyFont="1" applyFill="1" applyBorder="1" applyAlignment="1">
      <alignment wrapText="1"/>
    </xf>
    <xf numFmtId="42" fontId="8" fillId="4" borderId="18" xfId="0" applyNumberFormat="1" applyFont="1" applyFill="1" applyBorder="1" applyAlignment="1">
      <alignment/>
    </xf>
    <xf numFmtId="3" fontId="8" fillId="4" borderId="18" xfId="0" applyNumberFormat="1" applyFont="1" applyFill="1" applyBorder="1" applyAlignment="1">
      <alignment/>
    </xf>
    <xf numFmtId="3" fontId="8" fillId="4" borderId="19" xfId="0" applyNumberFormat="1" applyFont="1" applyFill="1" applyBorder="1" applyAlignment="1">
      <alignment/>
    </xf>
    <xf numFmtId="0" fontId="27" fillId="0" borderId="99" xfId="0" applyFont="1" applyBorder="1" applyAlignment="1">
      <alignment wrapText="1"/>
    </xf>
    <xf numFmtId="0" fontId="27" fillId="0" borderId="100" xfId="0" applyFont="1" applyBorder="1" applyAlignment="1">
      <alignment wrapText="1"/>
    </xf>
    <xf numFmtId="0" fontId="27" fillId="0" borderId="101" xfId="0" applyFont="1" applyBorder="1" applyAlignment="1">
      <alignment wrapText="1"/>
    </xf>
    <xf numFmtId="3" fontId="9" fillId="0" borderId="102" xfId="0" applyNumberFormat="1" applyFont="1" applyFill="1" applyBorder="1" applyAlignment="1">
      <alignment horizontal="right"/>
    </xf>
    <xf numFmtId="0" fontId="27" fillId="0" borderId="102" xfId="0" applyFont="1" applyFill="1" applyBorder="1" applyAlignment="1">
      <alignment wrapText="1"/>
    </xf>
    <xf numFmtId="42" fontId="27" fillId="0" borderId="96" xfId="0" applyNumberFormat="1" applyFont="1" applyFill="1" applyBorder="1" applyAlignment="1">
      <alignment wrapText="1"/>
    </xf>
    <xf numFmtId="0" fontId="27" fillId="0" borderId="103" xfId="0" applyFont="1" applyBorder="1" applyAlignment="1">
      <alignment wrapText="1"/>
    </xf>
    <xf numFmtId="0" fontId="28" fillId="0" borderId="58" xfId="0" applyFont="1" applyFill="1" applyBorder="1" applyAlignment="1">
      <alignment wrapText="1"/>
    </xf>
    <xf numFmtId="42" fontId="6" fillId="2" borderId="54" xfId="0" applyNumberFormat="1" applyFont="1" applyFill="1" applyBorder="1" applyAlignment="1">
      <alignment horizontal="center" wrapText="1"/>
    </xf>
    <xf numFmtId="171" fontId="1" fillId="0" borderId="29" xfId="15" applyNumberFormat="1" applyFont="1" applyBorder="1" applyAlignment="1">
      <alignment vertical="center" wrapText="1"/>
    </xf>
    <xf numFmtId="171" fontId="6" fillId="2" borderId="54" xfId="15" applyNumberFormat="1" applyFont="1" applyFill="1" applyBorder="1" applyAlignment="1">
      <alignment horizontal="center" wrapText="1"/>
    </xf>
    <xf numFmtId="171" fontId="6" fillId="2" borderId="59" xfId="15" applyNumberFormat="1" applyFont="1" applyFill="1" applyBorder="1" applyAlignment="1">
      <alignment wrapText="1"/>
    </xf>
    <xf numFmtId="0" fontId="15" fillId="0" borderId="28" xfId="0" applyFont="1" applyFill="1" applyBorder="1" applyAlignment="1">
      <alignment vertical="center" wrapText="1"/>
    </xf>
    <xf numFmtId="0" fontId="15" fillId="0" borderId="29" xfId="0" applyNumberFormat="1" applyFont="1" applyFill="1" applyBorder="1" applyAlignment="1">
      <alignment vertical="center" wrapText="1"/>
    </xf>
    <xf numFmtId="171" fontId="9" fillId="0" borderId="29" xfId="15" applyNumberFormat="1" applyFont="1" applyBorder="1" applyAlignment="1">
      <alignment wrapText="1"/>
    </xf>
    <xf numFmtId="171" fontId="9" fillId="0" borderId="0" xfId="15" applyNumberFormat="1" applyFont="1" applyBorder="1" applyAlignment="1">
      <alignment wrapText="1"/>
    </xf>
    <xf numFmtId="171" fontId="9" fillId="0" borderId="32" xfId="15" applyNumberFormat="1" applyFont="1" applyBorder="1" applyAlignment="1">
      <alignment wrapText="1"/>
    </xf>
    <xf numFmtId="171" fontId="35" fillId="4" borderId="18" xfId="15" applyNumberFormat="1" applyFont="1" applyFill="1" applyBorder="1" applyAlignment="1">
      <alignment wrapText="1"/>
    </xf>
    <xf numFmtId="171" fontId="27" fillId="0" borderId="94" xfId="15" applyNumberFormat="1" applyFont="1" applyBorder="1" applyAlignment="1">
      <alignment wrapText="1"/>
    </xf>
    <xf numFmtId="171" fontId="9" fillId="0" borderId="96" xfId="15" applyNumberFormat="1" applyFont="1" applyFill="1" applyBorder="1" applyAlignment="1">
      <alignment wrapText="1"/>
    </xf>
    <xf numFmtId="171" fontId="27" fillId="0" borderId="96" xfId="15" applyNumberFormat="1" applyFont="1" applyFill="1" applyBorder="1" applyAlignment="1">
      <alignment wrapText="1"/>
    </xf>
    <xf numFmtId="171" fontId="26" fillId="0" borderId="96" xfId="15" applyNumberFormat="1" applyFont="1" applyFill="1" applyBorder="1" applyAlignment="1">
      <alignment wrapText="1"/>
    </xf>
    <xf numFmtId="171" fontId="9" fillId="0" borderId="74" xfId="15" applyNumberFormat="1" applyFont="1" applyFill="1" applyBorder="1" applyAlignment="1">
      <alignment wrapText="1"/>
    </xf>
    <xf numFmtId="171" fontId="20" fillId="0" borderId="58" xfId="15" applyNumberFormat="1" applyFont="1" applyFill="1" applyBorder="1" applyAlignment="1">
      <alignment wrapText="1"/>
    </xf>
    <xf numFmtId="171" fontId="20" fillId="0" borderId="32" xfId="15" applyNumberFormat="1" applyFont="1" applyFill="1" applyBorder="1" applyAlignment="1">
      <alignment horizontal="center"/>
    </xf>
    <xf numFmtId="171" fontId="27" fillId="0" borderId="100" xfId="15" applyNumberFormat="1" applyFont="1" applyBorder="1" applyAlignment="1">
      <alignment wrapText="1"/>
    </xf>
    <xf numFmtId="171" fontId="20" fillId="0" borderId="16" xfId="15" applyNumberFormat="1" applyFont="1" applyFill="1" applyBorder="1" applyAlignment="1">
      <alignment wrapText="1"/>
    </xf>
    <xf numFmtId="171" fontId="20" fillId="0" borderId="69" xfId="15" applyNumberFormat="1" applyFont="1" applyFill="1" applyBorder="1" applyAlignment="1">
      <alignment horizontal="center"/>
    </xf>
    <xf numFmtId="171" fontId="10" fillId="4" borderId="18" xfId="15" applyNumberFormat="1" applyFont="1" applyFill="1" applyBorder="1" applyAlignment="1">
      <alignment wrapText="1"/>
    </xf>
    <xf numFmtId="171" fontId="6" fillId="5" borderId="18" xfId="15" applyNumberFormat="1" applyFont="1" applyFill="1" applyBorder="1" applyAlignment="1">
      <alignment horizontal="left" wrapText="1"/>
    </xf>
    <xf numFmtId="171" fontId="3" fillId="0" borderId="0" xfId="15" applyNumberFormat="1" applyFont="1" applyAlignment="1">
      <alignment/>
    </xf>
    <xf numFmtId="171" fontId="21" fillId="0" borderId="0" xfId="15" applyNumberFormat="1" applyFont="1" applyAlignment="1">
      <alignment/>
    </xf>
    <xf numFmtId="171" fontId="1" fillId="0" borderId="0" xfId="15" applyNumberFormat="1" applyFont="1" applyAlignment="1">
      <alignment wrapText="1"/>
    </xf>
    <xf numFmtId="3" fontId="16" fillId="0" borderId="11" xfId="0" applyNumberFormat="1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169" fontId="15" fillId="0" borderId="19" xfId="0" applyNumberFormat="1" applyFont="1" applyBorder="1" applyAlignment="1">
      <alignment vertical="center"/>
    </xf>
    <xf numFmtId="169" fontId="8" fillId="0" borderId="30" xfId="0" applyNumberFormat="1" applyFont="1" applyFill="1" applyBorder="1" applyAlignment="1">
      <alignment vertical="center"/>
    </xf>
    <xf numFmtId="5" fontId="8" fillId="0" borderId="13" xfId="15" applyNumberFormat="1" applyFont="1" applyFill="1" applyBorder="1" applyAlignment="1">
      <alignment vertical="center"/>
    </xf>
    <xf numFmtId="5" fontId="20" fillId="0" borderId="32" xfId="15" applyNumberFormat="1" applyFont="1" applyFill="1" applyBorder="1" applyAlignment="1">
      <alignment horizontal="right" vertical="center"/>
    </xf>
    <xf numFmtId="169" fontId="15" fillId="0" borderId="30" xfId="0" applyNumberFormat="1" applyFont="1" applyBorder="1" applyAlignment="1">
      <alignment vertical="center"/>
    </xf>
    <xf numFmtId="169" fontId="8" fillId="0" borderId="62" xfId="0" applyNumberFormat="1" applyFont="1" applyBorder="1" applyAlignment="1">
      <alignment vertical="center"/>
    </xf>
    <xf numFmtId="0" fontId="0" fillId="0" borderId="1" xfId="0" applyBorder="1" applyAlignment="1">
      <alignment/>
    </xf>
    <xf numFmtId="3" fontId="8" fillId="0" borderId="104" xfId="0" applyNumberFormat="1" applyFont="1" applyFill="1" applyBorder="1" applyAlignment="1">
      <alignment vertical="center"/>
    </xf>
    <xf numFmtId="5" fontId="9" fillId="0" borderId="104" xfId="15" applyNumberFormat="1" applyFont="1" applyFill="1" applyBorder="1" applyAlignment="1">
      <alignment horizontal="right" vertical="center"/>
    </xf>
    <xf numFmtId="9" fontId="8" fillId="0" borderId="96" xfId="0" applyNumberFormat="1" applyFont="1" applyFill="1" applyBorder="1" applyAlignment="1">
      <alignment vertical="center" wrapText="1"/>
    </xf>
    <xf numFmtId="10" fontId="8" fillId="0" borderId="96" xfId="21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5" fontId="9" fillId="0" borderId="96" xfId="15" applyNumberFormat="1" applyFont="1" applyFill="1" applyBorder="1" applyAlignment="1">
      <alignment horizontal="right" vertical="center"/>
    </xf>
    <xf numFmtId="0" fontId="16" fillId="0" borderId="96" xfId="0" applyNumberFormat="1" applyFont="1" applyFill="1" applyBorder="1" applyAlignment="1">
      <alignment vertical="center" wrapText="1"/>
    </xf>
    <xf numFmtId="9" fontId="8" fillId="0" borderId="105" xfId="0" applyNumberFormat="1" applyFont="1" applyFill="1" applyBorder="1" applyAlignment="1">
      <alignment vertical="center" wrapText="1"/>
    </xf>
    <xf numFmtId="10" fontId="8" fillId="0" borderId="105" xfId="21" applyNumberFormat="1" applyFont="1" applyFill="1" applyBorder="1" applyAlignment="1">
      <alignment vertical="center"/>
    </xf>
    <xf numFmtId="0" fontId="15" fillId="0" borderId="106" xfId="0" applyNumberFormat="1" applyFont="1" applyFill="1" applyBorder="1" applyAlignment="1">
      <alignment vertical="center" wrapText="1"/>
    </xf>
    <xf numFmtId="10" fontId="15" fillId="0" borderId="106" xfId="21" applyNumberFormat="1" applyFont="1" applyFill="1" applyBorder="1" applyAlignment="1">
      <alignment vertical="center"/>
    </xf>
    <xf numFmtId="3" fontId="15" fillId="0" borderId="106" xfId="0" applyNumberFormat="1" applyFont="1" applyFill="1" applyBorder="1" applyAlignment="1">
      <alignment horizontal="right" vertical="center"/>
    </xf>
    <xf numFmtId="5" fontId="20" fillId="0" borderId="106" xfId="15" applyNumberFormat="1" applyFont="1" applyFill="1" applyBorder="1" applyAlignment="1">
      <alignment horizontal="right" vertical="center"/>
    </xf>
    <xf numFmtId="0" fontId="16" fillId="0" borderId="107" xfId="0" applyNumberFormat="1" applyFont="1" applyFill="1" applyBorder="1" applyAlignment="1">
      <alignment vertical="center" wrapText="1"/>
    </xf>
    <xf numFmtId="3" fontId="8" fillId="0" borderId="107" xfId="0" applyNumberFormat="1" applyFont="1" applyFill="1" applyBorder="1" applyAlignment="1">
      <alignment vertical="center"/>
    </xf>
    <xf numFmtId="5" fontId="9" fillId="0" borderId="107" xfId="15" applyNumberFormat="1" applyFont="1" applyFill="1" applyBorder="1" applyAlignment="1">
      <alignment horizontal="right" vertical="center"/>
    </xf>
    <xf numFmtId="0" fontId="18" fillId="0" borderId="107" xfId="0" applyNumberFormat="1" applyFont="1" applyFill="1" applyBorder="1" applyAlignment="1">
      <alignment vertical="center" wrapText="1"/>
    </xf>
    <xf numFmtId="0" fontId="15" fillId="0" borderId="106" xfId="0" applyNumberFormat="1" applyFont="1" applyBorder="1" applyAlignment="1">
      <alignment vertical="center" wrapText="1"/>
    </xf>
    <xf numFmtId="10" fontId="15" fillId="0" borderId="106" xfId="0" applyNumberFormat="1" applyFont="1" applyBorder="1" applyAlignment="1">
      <alignment vertical="center"/>
    </xf>
    <xf numFmtId="3" fontId="15" fillId="0" borderId="106" xfId="0" applyNumberFormat="1" applyFont="1" applyFill="1" applyBorder="1" applyAlignment="1">
      <alignment vertical="center"/>
    </xf>
    <xf numFmtId="0" fontId="18" fillId="0" borderId="104" xfId="0" applyNumberFormat="1" applyFont="1" applyFill="1" applyBorder="1" applyAlignment="1">
      <alignment vertical="center" wrapText="1"/>
    </xf>
    <xf numFmtId="3" fontId="20" fillId="0" borderId="29" xfId="0" applyNumberFormat="1" applyFont="1" applyFill="1" applyBorder="1" applyAlignment="1">
      <alignment horizontal="right" vertical="center"/>
    </xf>
    <xf numFmtId="5" fontId="20" fillId="0" borderId="29" xfId="15" applyNumberFormat="1" applyFont="1" applyFill="1" applyBorder="1" applyAlignment="1">
      <alignment horizontal="right" vertical="center"/>
    </xf>
    <xf numFmtId="5" fontId="9" fillId="0" borderId="32" xfId="15" applyNumberFormat="1" applyFont="1" applyBorder="1" applyAlignment="1">
      <alignment horizontal="right" vertical="center"/>
    </xf>
    <xf numFmtId="0" fontId="1" fillId="0" borderId="104" xfId="0" applyFont="1" applyFill="1" applyBorder="1" applyAlignment="1">
      <alignment vertical="center"/>
    </xf>
    <xf numFmtId="0" fontId="23" fillId="0" borderId="104" xfId="0" applyFont="1" applyFill="1" applyBorder="1" applyAlignment="1">
      <alignment vertical="center"/>
    </xf>
    <xf numFmtId="0" fontId="1" fillId="0" borderId="108" xfId="0" applyFont="1" applyFill="1" applyBorder="1" applyAlignment="1">
      <alignment vertical="center"/>
    </xf>
    <xf numFmtId="169" fontId="8" fillId="0" borderId="97" xfId="0" applyNumberFormat="1" applyFont="1" applyFill="1" applyBorder="1" applyAlignment="1">
      <alignment vertical="center"/>
    </xf>
    <xf numFmtId="169" fontId="8" fillId="0" borderId="109" xfId="0" applyNumberFormat="1" applyFont="1" applyFill="1" applyBorder="1" applyAlignment="1">
      <alignment vertical="center"/>
    </xf>
    <xf numFmtId="171" fontId="15" fillId="0" borderId="106" xfId="15" applyNumberFormat="1" applyFont="1" applyFill="1" applyBorder="1" applyAlignment="1">
      <alignment horizontal="right" vertical="center"/>
    </xf>
    <xf numFmtId="9" fontId="15" fillId="0" borderId="106" xfId="21" applyFont="1" applyFill="1" applyBorder="1" applyAlignment="1">
      <alignment horizontal="right" vertical="center"/>
    </xf>
    <xf numFmtId="5" fontId="33" fillId="0" borderId="107" xfId="15" applyNumberFormat="1" applyFont="1" applyFill="1" applyBorder="1" applyAlignment="1">
      <alignment horizontal="right" vertical="center"/>
    </xf>
    <xf numFmtId="169" fontId="15" fillId="0" borderId="110" xfId="0" applyNumberFormat="1" applyFont="1" applyBorder="1" applyAlignment="1">
      <alignment vertical="center"/>
    </xf>
    <xf numFmtId="169" fontId="8" fillId="0" borderId="108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0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169" fontId="6" fillId="2" borderId="111" xfId="0" applyNumberFormat="1" applyFont="1" applyFill="1" applyBorder="1" applyAlignment="1">
      <alignment horizontal="right" vertical="center" wrapText="1"/>
    </xf>
    <xf numFmtId="169" fontId="13" fillId="2" borderId="108" xfId="0" applyNumberFormat="1" applyFont="1" applyFill="1" applyBorder="1" applyAlignment="1">
      <alignment horizontal="right" vertical="center" wrapText="1"/>
    </xf>
    <xf numFmtId="169" fontId="6" fillId="2" borderId="112" xfId="0" applyNumberFormat="1" applyFont="1" applyFill="1" applyBorder="1" applyAlignment="1">
      <alignment horizontal="center" vertical="center" wrapText="1"/>
    </xf>
    <xf numFmtId="169" fontId="13" fillId="2" borderId="113" xfId="0" applyNumberFormat="1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vertical="center"/>
    </xf>
    <xf numFmtId="0" fontId="1" fillId="0" borderId="115" xfId="0" applyFont="1" applyFill="1" applyBorder="1" applyAlignment="1">
      <alignment vertical="center"/>
    </xf>
    <xf numFmtId="169" fontId="9" fillId="0" borderId="116" xfId="0" applyNumberFormat="1" applyFont="1" applyFill="1" applyBorder="1" applyAlignment="1">
      <alignment vertical="center"/>
    </xf>
    <xf numFmtId="169" fontId="9" fillId="0" borderId="117" xfId="0" applyNumberFormat="1" applyFont="1" applyFill="1" applyBorder="1" applyAlignment="1">
      <alignment vertical="center"/>
    </xf>
    <xf numFmtId="169" fontId="20" fillId="0" borderId="118" xfId="0" applyNumberFormat="1" applyFont="1" applyFill="1" applyBorder="1" applyAlignment="1">
      <alignment vertical="center"/>
    </xf>
    <xf numFmtId="0" fontId="17" fillId="0" borderId="110" xfId="0" applyFont="1" applyFill="1" applyBorder="1" applyAlignment="1">
      <alignment vertical="center"/>
    </xf>
    <xf numFmtId="169" fontId="9" fillId="0" borderId="114" xfId="0" applyNumberFormat="1" applyFont="1" applyFill="1" applyBorder="1" applyAlignment="1">
      <alignment vertical="center"/>
    </xf>
    <xf numFmtId="169" fontId="20" fillId="0" borderId="118" xfId="0" applyNumberFormat="1" applyFont="1" applyBorder="1" applyAlignment="1">
      <alignment vertical="center"/>
    </xf>
    <xf numFmtId="0" fontId="17" fillId="0" borderId="110" xfId="0" applyFont="1" applyBorder="1" applyAlignment="1">
      <alignment vertical="center"/>
    </xf>
    <xf numFmtId="169" fontId="9" fillId="0" borderId="111" xfId="0" applyNumberFormat="1" applyFont="1" applyFill="1" applyBorder="1" applyAlignment="1">
      <alignment vertical="center"/>
    </xf>
    <xf numFmtId="43" fontId="0" fillId="0" borderId="29" xfId="15" applyBorder="1" applyAlignment="1">
      <alignment/>
    </xf>
    <xf numFmtId="43" fontId="0" fillId="0" borderId="0" xfId="15" applyAlignment="1">
      <alignment/>
    </xf>
    <xf numFmtId="0" fontId="12" fillId="2" borderId="104" xfId="0" applyNumberFormat="1" applyFont="1" applyFill="1" applyBorder="1" applyAlignment="1">
      <alignment vertical="center" wrapText="1"/>
    </xf>
    <xf numFmtId="3" fontId="13" fillId="2" borderId="104" xfId="0" applyNumberFormat="1" applyFont="1" applyFill="1" applyBorder="1" applyAlignment="1">
      <alignment horizontal="right" vertical="center" wrapText="1"/>
    </xf>
    <xf numFmtId="5" fontId="6" fillId="2" borderId="104" xfId="15" applyNumberFormat="1" applyFont="1" applyFill="1" applyBorder="1" applyAlignment="1">
      <alignment horizontal="right" vertical="center" wrapText="1"/>
    </xf>
    <xf numFmtId="0" fontId="13" fillId="2" borderId="119" xfId="0" applyNumberFormat="1" applyFont="1" applyFill="1" applyBorder="1" applyAlignment="1">
      <alignment horizontal="center" vertical="center" wrapText="1"/>
    </xf>
    <xf numFmtId="0" fontId="13" fillId="2" borderId="119" xfId="0" applyFont="1" applyFill="1" applyBorder="1" applyAlignment="1">
      <alignment horizontal="center" vertical="center" wrapText="1"/>
    </xf>
    <xf numFmtId="5" fontId="6" fillId="2" borderId="119" xfId="15" applyNumberFormat="1" applyFont="1" applyFill="1" applyBorder="1" applyAlignment="1">
      <alignment horizontal="center" vertical="center" wrapText="1"/>
    </xf>
    <xf numFmtId="5" fontId="13" fillId="2" borderId="104" xfId="15" applyNumberFormat="1" applyFont="1" applyFill="1" applyBorder="1" applyAlignment="1">
      <alignment horizontal="right" vertical="center" wrapText="1"/>
    </xf>
    <xf numFmtId="5" fontId="13" fillId="2" borderId="119" xfId="15" applyNumberFormat="1" applyFont="1" applyFill="1" applyBorder="1" applyAlignment="1">
      <alignment horizontal="center" vertical="center" wrapText="1"/>
    </xf>
    <xf numFmtId="43" fontId="8" fillId="0" borderId="0" xfId="15" applyFont="1" applyBorder="1" applyAlignment="1">
      <alignment vertical="center" wrapText="1"/>
    </xf>
    <xf numFmtId="43" fontId="8" fillId="0" borderId="32" xfId="15" applyFont="1" applyBorder="1" applyAlignment="1">
      <alignment vertical="center" wrapText="1"/>
    </xf>
    <xf numFmtId="171" fontId="0" fillId="0" borderId="29" xfId="15" applyNumberFormat="1" applyBorder="1" applyAlignment="1">
      <alignment/>
    </xf>
    <xf numFmtId="171" fontId="8" fillId="0" borderId="0" xfId="15" applyNumberFormat="1" applyFont="1" applyBorder="1" applyAlignment="1">
      <alignment vertical="center" wrapText="1"/>
    </xf>
    <xf numFmtId="171" fontId="8" fillId="0" borderId="32" xfId="15" applyNumberFormat="1" applyFont="1" applyBorder="1" applyAlignment="1">
      <alignment vertical="center" wrapText="1"/>
    </xf>
    <xf numFmtId="171" fontId="12" fillId="2" borderId="111" xfId="15" applyNumberFormat="1" applyFont="1" applyFill="1" applyBorder="1" applyAlignment="1">
      <alignment vertical="center" wrapText="1"/>
    </xf>
    <xf numFmtId="171" fontId="13" fillId="2" borderId="112" xfId="15" applyNumberFormat="1" applyFont="1" applyFill="1" applyBorder="1" applyAlignment="1">
      <alignment horizontal="center" vertical="center" wrapText="1"/>
    </xf>
    <xf numFmtId="171" fontId="35" fillId="4" borderId="17" xfId="15" applyNumberFormat="1" applyFont="1" applyFill="1" applyBorder="1" applyAlignment="1">
      <alignment vertical="center" wrapText="1"/>
    </xf>
    <xf numFmtId="171" fontId="8" fillId="0" borderId="116" xfId="15" applyNumberFormat="1" applyFont="1" applyFill="1" applyBorder="1" applyAlignment="1">
      <alignment vertical="center" wrapText="1"/>
    </xf>
    <xf numFmtId="171" fontId="16" fillId="0" borderId="116" xfId="15" applyNumberFormat="1" applyFont="1" applyFill="1" applyBorder="1" applyAlignment="1">
      <alignment vertical="center" wrapText="1"/>
    </xf>
    <xf numFmtId="171" fontId="8" fillId="0" borderId="117" xfId="15" applyNumberFormat="1" applyFont="1" applyFill="1" applyBorder="1" applyAlignment="1">
      <alignment vertical="center" wrapText="1"/>
    </xf>
    <xf numFmtId="171" fontId="15" fillId="0" borderId="118" xfId="15" applyNumberFormat="1" applyFont="1" applyFill="1" applyBorder="1" applyAlignment="1">
      <alignment vertical="center" wrapText="1"/>
    </xf>
    <xf numFmtId="171" fontId="16" fillId="0" borderId="114" xfId="15" applyNumberFormat="1" applyFont="1" applyFill="1" applyBorder="1" applyAlignment="1">
      <alignment vertical="center" wrapText="1"/>
    </xf>
    <xf numFmtId="171" fontId="18" fillId="0" borderId="114" xfId="15" applyNumberFormat="1" applyFont="1" applyFill="1" applyBorder="1" applyAlignment="1">
      <alignment vertical="center" wrapText="1"/>
    </xf>
    <xf numFmtId="171" fontId="18" fillId="0" borderId="116" xfId="15" applyNumberFormat="1" applyFont="1" applyFill="1" applyBorder="1" applyAlignment="1">
      <alignment vertical="center" wrapText="1"/>
    </xf>
    <xf numFmtId="171" fontId="15" fillId="0" borderId="118" xfId="15" applyNumberFormat="1" applyFont="1" applyBorder="1" applyAlignment="1">
      <alignment vertical="center" wrapText="1"/>
    </xf>
    <xf numFmtId="171" fontId="18" fillId="0" borderId="111" xfId="15" applyNumberFormat="1" applyFont="1" applyFill="1" applyBorder="1" applyAlignment="1">
      <alignment vertical="center" wrapText="1"/>
    </xf>
    <xf numFmtId="171" fontId="15" fillId="0" borderId="28" xfId="15" applyNumberFormat="1" applyFont="1" applyFill="1" applyBorder="1" applyAlignment="1">
      <alignment vertical="center" wrapText="1"/>
    </xf>
    <xf numFmtId="171" fontId="8" fillId="0" borderId="31" xfId="15" applyNumberFormat="1" applyFont="1" applyBorder="1" applyAlignment="1">
      <alignment vertical="center" wrapText="1"/>
    </xf>
    <xf numFmtId="171" fontId="0" fillId="0" borderId="0" xfId="15" applyNumberFormat="1" applyAlignment="1">
      <alignment/>
    </xf>
    <xf numFmtId="43" fontId="12" fillId="2" borderId="104" xfId="15" applyFont="1" applyFill="1" applyBorder="1" applyAlignment="1">
      <alignment vertical="center" wrapText="1"/>
    </xf>
    <xf numFmtId="43" fontId="13" fillId="2" borderId="119" xfId="15" applyFont="1" applyFill="1" applyBorder="1" applyAlignment="1">
      <alignment horizontal="center" vertical="center" wrapText="1"/>
    </xf>
    <xf numFmtId="43" fontId="35" fillId="4" borderId="18" xfId="15" applyFont="1" applyFill="1" applyBorder="1" applyAlignment="1">
      <alignment vertical="center" wrapText="1"/>
    </xf>
    <xf numFmtId="43" fontId="16" fillId="0" borderId="104" xfId="15" applyFont="1" applyFill="1" applyBorder="1" applyAlignment="1">
      <alignment vertical="center" wrapText="1"/>
    </xf>
    <xf numFmtId="43" fontId="8" fillId="0" borderId="96" xfId="15" applyFont="1" applyFill="1" applyBorder="1" applyAlignment="1">
      <alignment vertical="center" wrapText="1"/>
    </xf>
    <xf numFmtId="43" fontId="16" fillId="0" borderId="96" xfId="15" applyFont="1" applyFill="1" applyBorder="1" applyAlignment="1">
      <alignment vertical="center" wrapText="1"/>
    </xf>
    <xf numFmtId="43" fontId="8" fillId="0" borderId="105" xfId="15" applyFont="1" applyFill="1" applyBorder="1" applyAlignment="1">
      <alignment vertical="center" wrapText="1"/>
    </xf>
    <xf numFmtId="43" fontId="15" fillId="0" borderId="106" xfId="15" applyFont="1" applyFill="1" applyBorder="1" applyAlignment="1">
      <alignment vertical="center" wrapText="1"/>
    </xf>
    <xf numFmtId="43" fontId="16" fillId="0" borderId="107" xfId="15" applyFont="1" applyFill="1" applyBorder="1" applyAlignment="1">
      <alignment vertical="center" wrapText="1"/>
    </xf>
    <xf numFmtId="43" fontId="18" fillId="0" borderId="107" xfId="15" applyFont="1" applyFill="1" applyBorder="1" applyAlignment="1">
      <alignment vertical="center" wrapText="1"/>
    </xf>
    <xf numFmtId="43" fontId="18" fillId="0" borderId="96" xfId="15" applyFont="1" applyFill="1" applyBorder="1" applyAlignment="1">
      <alignment vertical="center" wrapText="1"/>
    </xf>
    <xf numFmtId="43" fontId="15" fillId="0" borderId="106" xfId="15" applyFont="1" applyBorder="1" applyAlignment="1">
      <alignment vertical="center" wrapText="1"/>
    </xf>
    <xf numFmtId="43" fontId="18" fillId="0" borderId="104" xfId="15" applyFont="1" applyFill="1" applyBorder="1" applyAlignment="1">
      <alignment vertical="center" wrapText="1"/>
    </xf>
    <xf numFmtId="43" fontId="15" fillId="0" borderId="29" xfId="15" applyFont="1" applyFill="1" applyBorder="1" applyAlignment="1">
      <alignment vertical="center" wrapText="1"/>
    </xf>
    <xf numFmtId="9" fontId="0" fillId="0" borderId="29" xfId="21" applyBorder="1" applyAlignment="1">
      <alignment/>
    </xf>
    <xf numFmtId="9" fontId="8" fillId="0" borderId="0" xfId="21" applyFont="1" applyBorder="1" applyAlignment="1">
      <alignment vertical="center" wrapText="1"/>
    </xf>
    <xf numFmtId="9" fontId="8" fillId="0" borderId="32" xfId="21" applyFont="1" applyBorder="1" applyAlignment="1">
      <alignment vertical="center" wrapText="1"/>
    </xf>
    <xf numFmtId="9" fontId="12" fillId="2" borderId="104" xfId="21" applyFont="1" applyFill="1" applyBorder="1" applyAlignment="1">
      <alignment vertical="center" wrapText="1"/>
    </xf>
    <xf numFmtId="9" fontId="13" fillId="2" borderId="119" xfId="21" applyFont="1" applyFill="1" applyBorder="1" applyAlignment="1">
      <alignment horizontal="center" vertical="center" wrapText="1"/>
    </xf>
    <xf numFmtId="9" fontId="35" fillId="4" borderId="18" xfId="21" applyFont="1" applyFill="1" applyBorder="1" applyAlignment="1">
      <alignment vertical="center" wrapText="1"/>
    </xf>
    <xf numFmtId="9" fontId="16" fillId="0" borderId="104" xfId="21" applyFont="1" applyFill="1" applyBorder="1" applyAlignment="1">
      <alignment vertical="center" wrapText="1"/>
    </xf>
    <xf numFmtId="9" fontId="8" fillId="0" borderId="96" xfId="21" applyFont="1" applyFill="1" applyBorder="1" applyAlignment="1">
      <alignment vertical="center" wrapText="1"/>
    </xf>
    <xf numFmtId="9" fontId="16" fillId="0" borderId="96" xfId="21" applyFont="1" applyFill="1" applyBorder="1" applyAlignment="1">
      <alignment vertical="center" wrapText="1"/>
    </xf>
    <xf numFmtId="9" fontId="15" fillId="0" borderId="106" xfId="21" applyFont="1" applyFill="1" applyBorder="1" applyAlignment="1">
      <alignment vertical="center" wrapText="1"/>
    </xf>
    <xf numFmtId="9" fontId="16" fillId="0" borderId="107" xfId="21" applyFont="1" applyFill="1" applyBorder="1" applyAlignment="1">
      <alignment vertical="center" wrapText="1"/>
    </xf>
    <xf numFmtId="9" fontId="18" fillId="0" borderId="107" xfId="21" applyFont="1" applyFill="1" applyBorder="1" applyAlignment="1">
      <alignment vertical="center" wrapText="1"/>
    </xf>
    <xf numFmtId="9" fontId="15" fillId="0" borderId="106" xfId="21" applyFont="1" applyBorder="1" applyAlignment="1">
      <alignment vertical="center" wrapText="1"/>
    </xf>
    <xf numFmtId="9" fontId="18" fillId="0" borderId="104" xfId="21" applyFont="1" applyFill="1" applyBorder="1" applyAlignment="1">
      <alignment vertical="center" wrapText="1"/>
    </xf>
    <xf numFmtId="9" fontId="15" fillId="0" borderId="29" xfId="21" applyFont="1" applyFill="1" applyBorder="1" applyAlignment="1">
      <alignment vertical="center" wrapText="1"/>
    </xf>
    <xf numFmtId="9" fontId="0" fillId="0" borderId="0" xfId="21" applyAlignment="1">
      <alignment/>
    </xf>
    <xf numFmtId="171" fontId="15" fillId="0" borderId="0" xfId="15" applyNumberFormat="1" applyFont="1" applyBorder="1" applyAlignment="1">
      <alignment vertical="center"/>
    </xf>
    <xf numFmtId="171" fontId="15" fillId="0" borderId="32" xfId="15" applyNumberFormat="1" applyFont="1" applyBorder="1" applyAlignment="1">
      <alignment vertical="center"/>
    </xf>
    <xf numFmtId="171" fontId="13" fillId="2" borderId="104" xfId="15" applyNumberFormat="1" applyFont="1" applyFill="1" applyBorder="1" applyAlignment="1">
      <alignment horizontal="right" vertical="center" wrapText="1"/>
    </xf>
    <xf numFmtId="171" fontId="13" fillId="2" borderId="119" xfId="15" applyNumberFormat="1" applyFont="1" applyFill="1" applyBorder="1" applyAlignment="1">
      <alignment horizontal="center" vertical="center" wrapText="1"/>
    </xf>
    <xf numFmtId="171" fontId="35" fillId="4" borderId="18" xfId="15" applyNumberFormat="1" applyFont="1" applyFill="1" applyBorder="1" applyAlignment="1">
      <alignment vertical="center" wrapText="1"/>
    </xf>
    <xf numFmtId="171" fontId="8" fillId="0" borderId="104" xfId="15" applyNumberFormat="1" applyFont="1" applyFill="1" applyBorder="1" applyAlignment="1">
      <alignment vertical="center"/>
    </xf>
    <xf numFmtId="171" fontId="8" fillId="0" borderId="96" xfId="15" applyNumberFormat="1" applyFont="1" applyFill="1" applyBorder="1" applyAlignment="1">
      <alignment vertical="center"/>
    </xf>
    <xf numFmtId="171" fontId="8" fillId="0" borderId="105" xfId="15" applyNumberFormat="1" applyFont="1" applyFill="1" applyBorder="1" applyAlignment="1">
      <alignment vertical="center"/>
    </xf>
    <xf numFmtId="171" fontId="8" fillId="0" borderId="107" xfId="15" applyNumberFormat="1" applyFont="1" applyFill="1" applyBorder="1" applyAlignment="1">
      <alignment vertical="center"/>
    </xf>
    <xf numFmtId="171" fontId="15" fillId="0" borderId="106" xfId="15" applyNumberFormat="1" applyFont="1" applyBorder="1" applyAlignment="1">
      <alignment vertical="center"/>
    </xf>
    <xf numFmtId="171" fontId="15" fillId="0" borderId="29" xfId="15" applyNumberFormat="1" applyFont="1" applyBorder="1" applyAlignment="1">
      <alignment vertical="center"/>
    </xf>
    <xf numFmtId="171" fontId="8" fillId="0" borderId="32" xfId="15" applyNumberFormat="1" applyFont="1" applyBorder="1" applyAlignment="1">
      <alignment vertical="center"/>
    </xf>
    <xf numFmtId="43" fontId="1" fillId="0" borderId="0" xfId="15" applyFont="1" applyFill="1" applyBorder="1" applyAlignment="1">
      <alignment vertical="center"/>
    </xf>
    <xf numFmtId="43" fontId="1" fillId="0" borderId="32" xfId="15" applyFont="1" applyBorder="1" applyAlignment="1">
      <alignment vertical="center"/>
    </xf>
    <xf numFmtId="171" fontId="1" fillId="0" borderId="0" xfId="15" applyNumberFormat="1" applyFont="1" applyFill="1" applyBorder="1" applyAlignment="1">
      <alignment vertical="center"/>
    </xf>
    <xf numFmtId="171" fontId="1" fillId="0" borderId="32" xfId="15" applyNumberFormat="1" applyFont="1" applyBorder="1" applyAlignment="1">
      <alignment vertical="center"/>
    </xf>
    <xf numFmtId="171" fontId="1" fillId="0" borderId="111" xfId="15" applyNumberFormat="1" applyFont="1" applyFill="1" applyBorder="1" applyAlignment="1">
      <alignment vertical="center"/>
    </xf>
    <xf numFmtId="43" fontId="1" fillId="0" borderId="104" xfId="15" applyFont="1" applyFill="1" applyBorder="1" applyAlignment="1">
      <alignment vertical="center"/>
    </xf>
    <xf numFmtId="171" fontId="1" fillId="0" borderId="104" xfId="15" applyNumberFormat="1" applyFont="1" applyFill="1" applyBorder="1" applyAlignment="1">
      <alignment vertical="center"/>
    </xf>
    <xf numFmtId="169" fontId="20" fillId="0" borderId="28" xfId="0" applyNumberFormat="1" applyFont="1" applyBorder="1" applyAlignment="1">
      <alignment vertical="center"/>
    </xf>
    <xf numFmtId="169" fontId="9" fillId="0" borderId="31" xfId="0" applyNumberFormat="1" applyFont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171" fontId="15" fillId="0" borderId="18" xfId="15" applyNumberFormat="1" applyFont="1" applyFill="1" applyBorder="1" applyAlignment="1">
      <alignment vertical="center" wrapText="1"/>
    </xf>
    <xf numFmtId="43" fontId="15" fillId="0" borderId="18" xfId="15" applyFont="1" applyFill="1" applyBorder="1" applyAlignment="1">
      <alignment vertical="center" wrapText="1"/>
    </xf>
    <xf numFmtId="9" fontId="15" fillId="0" borderId="18" xfId="21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7" fillId="0" borderId="120" xfId="0" applyFont="1" applyFill="1" applyBorder="1" applyAlignment="1">
      <alignment horizontal="left" vertical="center"/>
    </xf>
    <xf numFmtId="0" fontId="17" fillId="0" borderId="120" xfId="0" applyFont="1" applyBorder="1" applyAlignment="1">
      <alignment horizontal="left" vertical="center"/>
    </xf>
    <xf numFmtId="5" fontId="8" fillId="0" borderId="13" xfId="15" applyNumberFormat="1" applyFont="1" applyFill="1" applyBorder="1" applyAlignment="1">
      <alignment horizontal="left" vertical="center"/>
    </xf>
    <xf numFmtId="0" fontId="28" fillId="0" borderId="17" xfId="0" applyFont="1" applyFill="1" applyBorder="1" applyAlignment="1">
      <alignment vertical="center" wrapText="1"/>
    </xf>
    <xf numFmtId="5" fontId="8" fillId="0" borderId="12" xfId="15" applyNumberFormat="1" applyFont="1" applyFill="1" applyBorder="1" applyAlignment="1">
      <alignment horizontal="left" vertical="center"/>
    </xf>
    <xf numFmtId="5" fontId="1" fillId="0" borderId="30" xfId="15" applyNumberFormat="1" applyFont="1" applyBorder="1" applyAlignment="1">
      <alignment horizontal="left" vertical="center"/>
    </xf>
    <xf numFmtId="5" fontId="1" fillId="0" borderId="14" xfId="15" applyNumberFormat="1" applyFont="1" applyBorder="1" applyAlignment="1">
      <alignment horizontal="left" vertical="center"/>
    </xf>
    <xf numFmtId="5" fontId="1" fillId="0" borderId="62" xfId="15" applyNumberFormat="1" applyFont="1" applyBorder="1" applyAlignment="1">
      <alignment horizontal="left" vertical="center"/>
    </xf>
    <xf numFmtId="5" fontId="13" fillId="2" borderId="55" xfId="15" applyNumberFormat="1" applyFont="1" applyFill="1" applyBorder="1" applyAlignment="1">
      <alignment horizontal="left" vertical="center" wrapText="1"/>
    </xf>
    <xf numFmtId="5" fontId="6" fillId="2" borderId="72" xfId="15" applyNumberFormat="1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5" fontId="8" fillId="0" borderId="121" xfId="15" applyNumberFormat="1" applyFont="1" applyBorder="1" applyAlignment="1">
      <alignment horizontal="left" vertical="center"/>
    </xf>
    <xf numFmtId="5" fontId="8" fillId="0" borderId="10" xfId="15" applyNumberFormat="1" applyFont="1" applyBorder="1" applyAlignment="1">
      <alignment horizontal="left" vertical="center"/>
    </xf>
    <xf numFmtId="5" fontId="8" fillId="0" borderId="83" xfId="15" applyNumberFormat="1" applyFont="1" applyBorder="1" applyAlignment="1">
      <alignment horizontal="left" vertical="center"/>
    </xf>
    <xf numFmtId="5" fontId="8" fillId="0" borderId="90" xfId="15" applyNumberFormat="1" applyFont="1" applyBorder="1" applyAlignment="1">
      <alignment horizontal="left" vertical="center"/>
    </xf>
    <xf numFmtId="5" fontId="8" fillId="0" borderId="72" xfId="15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5" fontId="8" fillId="0" borderId="71" xfId="15" applyNumberFormat="1" applyFont="1" applyBorder="1" applyAlignment="1">
      <alignment horizontal="left" vertical="center"/>
    </xf>
    <xf numFmtId="5" fontId="8" fillId="0" borderId="55" xfId="15" applyNumberFormat="1" applyFont="1" applyFill="1" applyBorder="1" applyAlignment="1">
      <alignment horizontal="left" vertical="center"/>
    </xf>
    <xf numFmtId="5" fontId="8" fillId="0" borderId="122" xfId="15" applyNumberFormat="1" applyFont="1" applyFill="1" applyBorder="1" applyAlignment="1">
      <alignment horizontal="left" vertical="center"/>
    </xf>
    <xf numFmtId="5" fontId="8" fillId="0" borderId="90" xfId="15" applyNumberFormat="1" applyFont="1" applyFill="1" applyBorder="1" applyAlignment="1">
      <alignment horizontal="left" vertical="center"/>
    </xf>
    <xf numFmtId="5" fontId="8" fillId="0" borderId="71" xfId="15" applyNumberFormat="1" applyFont="1" applyFill="1" applyBorder="1" applyAlignment="1">
      <alignment horizontal="left" vertical="center"/>
    </xf>
    <xf numFmtId="5" fontId="8" fillId="0" borderId="121" xfId="15" applyNumberFormat="1" applyFont="1" applyFill="1" applyBorder="1" applyAlignment="1">
      <alignment horizontal="left" vertical="center"/>
    </xf>
    <xf numFmtId="5" fontId="8" fillId="0" borderId="10" xfId="15" applyNumberFormat="1" applyFont="1" applyFill="1" applyBorder="1" applyAlignment="1">
      <alignment horizontal="left" vertical="center"/>
    </xf>
    <xf numFmtId="0" fontId="8" fillId="0" borderId="62" xfId="0" applyFont="1" applyBorder="1" applyAlignment="1">
      <alignment horizontal="left" vertical="center" wrapText="1"/>
    </xf>
    <xf numFmtId="5" fontId="1" fillId="0" borderId="0" xfId="15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5" fontId="21" fillId="0" borderId="0" xfId="15" applyNumberFormat="1" applyFont="1" applyAlignment="1">
      <alignment horizontal="left" vertical="center"/>
    </xf>
    <xf numFmtId="5" fontId="22" fillId="0" borderId="0" xfId="15" applyNumberFormat="1" applyFont="1" applyAlignment="1">
      <alignment horizontal="left" vertical="center"/>
    </xf>
    <xf numFmtId="5" fontId="23" fillId="0" borderId="0" xfId="15" applyNumberFormat="1" applyFont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5" fontId="8" fillId="0" borderId="83" xfId="15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5" fontId="6" fillId="2" borderId="86" xfId="15" applyNumberFormat="1" applyFont="1" applyFill="1" applyBorder="1" applyAlignment="1">
      <alignment horizontal="center" vertical="center" wrapText="1"/>
    </xf>
    <xf numFmtId="5" fontId="8" fillId="0" borderId="0" xfId="15" applyNumberFormat="1" applyFont="1" applyFill="1" applyBorder="1" applyAlignment="1">
      <alignment horizontal="right" vertical="center"/>
    </xf>
    <xf numFmtId="5" fontId="8" fillId="0" borderId="32" xfId="15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vertical="center"/>
    </xf>
    <xf numFmtId="5" fontId="8" fillId="0" borderId="15" xfId="15" applyNumberFormat="1" applyFont="1" applyFill="1" applyBorder="1" applyAlignment="1">
      <alignment horizontal="left" vertical="center"/>
    </xf>
    <xf numFmtId="6" fontId="9" fillId="0" borderId="96" xfId="0" applyNumberFormat="1" applyFont="1" applyFill="1" applyBorder="1" applyAlignment="1">
      <alignment wrapText="1"/>
    </xf>
    <xf numFmtId="169" fontId="8" fillId="0" borderId="110" xfId="0" applyNumberFormat="1" applyFont="1" applyFill="1" applyBorder="1" applyAlignment="1">
      <alignment vertical="center"/>
    </xf>
    <xf numFmtId="0" fontId="17" fillId="0" borderId="123" xfId="0" applyFont="1" applyBorder="1" applyAlignment="1">
      <alignment horizontal="left" vertical="center"/>
    </xf>
    <xf numFmtId="3" fontId="8" fillId="0" borderId="11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11" xfId="0" applyFont="1" applyFill="1" applyBorder="1" applyAlignment="1" quotePrefix="1">
      <alignment horizontal="center"/>
    </xf>
    <xf numFmtId="0" fontId="17" fillId="0" borderId="13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71" fontId="8" fillId="0" borderId="114" xfId="15" applyNumberFormat="1" applyFont="1" applyFill="1" applyBorder="1" applyAlignment="1">
      <alignment vertical="center" wrapText="1"/>
    </xf>
    <xf numFmtId="43" fontId="8" fillId="0" borderId="107" xfId="15" applyFont="1" applyFill="1" applyBorder="1" applyAlignment="1">
      <alignment vertical="center" wrapText="1"/>
    </xf>
    <xf numFmtId="9" fontId="8" fillId="0" borderId="107" xfId="21" applyFont="1" applyFill="1" applyBorder="1" applyAlignment="1">
      <alignment vertical="center" wrapText="1"/>
    </xf>
    <xf numFmtId="10" fontId="8" fillId="0" borderId="107" xfId="21" applyNumberFormat="1" applyFont="1" applyFill="1" applyBorder="1" applyAlignment="1">
      <alignment vertical="center"/>
    </xf>
    <xf numFmtId="9" fontId="8" fillId="0" borderId="107" xfId="0" applyNumberFormat="1" applyFont="1" applyFill="1" applyBorder="1" applyAlignment="1">
      <alignment vertical="center" wrapText="1"/>
    </xf>
    <xf numFmtId="171" fontId="15" fillId="0" borderId="29" xfId="15" applyNumberFormat="1" applyFont="1" applyFill="1" applyBorder="1" applyAlignment="1">
      <alignment horizontal="right" vertical="center"/>
    </xf>
    <xf numFmtId="10" fontId="15" fillId="0" borderId="29" xfId="21" applyNumberFormat="1" applyFont="1" applyFill="1" applyBorder="1" applyAlignment="1">
      <alignment vertical="center"/>
    </xf>
    <xf numFmtId="9" fontId="15" fillId="0" borderId="29" xfId="21" applyFont="1" applyFill="1" applyBorder="1" applyAlignment="1">
      <alignment horizontal="right" vertical="center"/>
    </xf>
    <xf numFmtId="0" fontId="3" fillId="0" borderId="34" xfId="0" applyFont="1" applyFill="1" applyBorder="1" applyAlignment="1">
      <alignment/>
    </xf>
    <xf numFmtId="43" fontId="3" fillId="0" borderId="6" xfId="15" applyFont="1" applyFill="1" applyBorder="1" applyAlignment="1">
      <alignment/>
    </xf>
    <xf numFmtId="9" fontId="3" fillId="0" borderId="6" xfId="21" applyFont="1" applyFill="1" applyBorder="1" applyAlignment="1">
      <alignment/>
    </xf>
    <xf numFmtId="171" fontId="3" fillId="0" borderId="6" xfId="15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2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1" fontId="3" fillId="0" borderId="27" xfId="15" applyNumberFormat="1" applyFont="1" applyFill="1" applyBorder="1" applyAlignment="1" quotePrefix="1">
      <alignment horizontal="right"/>
    </xf>
    <xf numFmtId="5" fontId="8" fillId="0" borderId="6" xfId="15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171" fontId="3" fillId="0" borderId="125" xfId="15" applyNumberFormat="1" applyFont="1" applyFill="1" applyBorder="1" applyAlignment="1">
      <alignment/>
    </xf>
    <xf numFmtId="43" fontId="3" fillId="0" borderId="100" xfId="15" applyFont="1" applyFill="1" applyBorder="1" applyAlignment="1">
      <alignment/>
    </xf>
    <xf numFmtId="0" fontId="3" fillId="0" borderId="100" xfId="0" applyFont="1" applyFill="1" applyBorder="1" applyAlignment="1">
      <alignment/>
    </xf>
    <xf numFmtId="0" fontId="16" fillId="0" borderId="2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71" fontId="3" fillId="0" borderId="100" xfId="15" applyNumberFormat="1" applyFont="1" applyFill="1" applyBorder="1" applyAlignment="1">
      <alignment/>
    </xf>
    <xf numFmtId="5" fontId="8" fillId="0" borderId="100" xfId="15" applyNumberFormat="1" applyFont="1" applyFill="1" applyBorder="1" applyAlignment="1">
      <alignment horizontal="right" vertical="center"/>
    </xf>
    <xf numFmtId="0" fontId="3" fillId="0" borderId="103" xfId="0" applyFont="1" applyFill="1" applyBorder="1" applyAlignment="1">
      <alignment/>
    </xf>
    <xf numFmtId="171" fontId="3" fillId="0" borderId="116" xfId="15" applyNumberFormat="1" applyFont="1" applyFill="1" applyBorder="1" applyAlignment="1">
      <alignment/>
    </xf>
    <xf numFmtId="43" fontId="3" fillId="0" borderId="96" xfId="15" applyFont="1" applyFill="1" applyBorder="1" applyAlignment="1">
      <alignment/>
    </xf>
    <xf numFmtId="0" fontId="3" fillId="0" borderId="96" xfId="0" applyFont="1" applyFill="1" applyBorder="1" applyAlignment="1">
      <alignment/>
    </xf>
    <xf numFmtId="171" fontId="3" fillId="0" borderId="96" xfId="15" applyNumberFormat="1" applyFont="1" applyFill="1" applyBorder="1" applyAlignment="1">
      <alignment/>
    </xf>
    <xf numFmtId="5" fontId="8" fillId="0" borderId="96" xfId="15" applyNumberFormat="1" applyFont="1" applyFill="1" applyBorder="1" applyAlignment="1">
      <alignment horizontal="right" vertical="center"/>
    </xf>
    <xf numFmtId="0" fontId="3" fillId="0" borderId="97" xfId="0" applyFont="1" applyFill="1" applyBorder="1" applyAlignment="1">
      <alignment/>
    </xf>
    <xf numFmtId="5" fontId="8" fillId="0" borderId="116" xfId="15" applyNumberFormat="1" applyFont="1" applyFill="1" applyBorder="1" applyAlignment="1">
      <alignment horizontal="right" vertical="center"/>
    </xf>
    <xf numFmtId="0" fontId="3" fillId="0" borderId="89" xfId="0" applyFont="1" applyFill="1" applyBorder="1" applyAlignment="1">
      <alignment/>
    </xf>
    <xf numFmtId="171" fontId="3" fillId="0" borderId="126" xfId="15" applyNumberFormat="1" applyFont="1" applyFill="1" applyBorder="1" applyAlignment="1" quotePrefix="1">
      <alignment horizontal="right"/>
    </xf>
    <xf numFmtId="175" fontId="3" fillId="0" borderId="77" xfId="15" applyNumberFormat="1" applyFont="1" applyFill="1" applyBorder="1" applyAlignment="1">
      <alignment/>
    </xf>
    <xf numFmtId="9" fontId="3" fillId="0" borderId="77" xfId="21" applyFont="1" applyFill="1" applyBorder="1" applyAlignment="1">
      <alignment/>
    </xf>
    <xf numFmtId="171" fontId="3" fillId="0" borderId="77" xfId="15" applyNumberFormat="1" applyFont="1" applyFill="1" applyBorder="1" applyAlignment="1">
      <alignment/>
    </xf>
    <xf numFmtId="0" fontId="3" fillId="0" borderId="77" xfId="0" applyFont="1" applyFill="1" applyBorder="1" applyAlignment="1">
      <alignment/>
    </xf>
    <xf numFmtId="43" fontId="3" fillId="0" borderId="77" xfId="15" applyFont="1" applyFill="1" applyBorder="1" applyAlignment="1">
      <alignment/>
    </xf>
    <xf numFmtId="5" fontId="8" fillId="0" borderId="77" xfId="15" applyNumberFormat="1" applyFont="1" applyFill="1" applyBorder="1" applyAlignment="1">
      <alignment horizontal="right" vertical="center"/>
    </xf>
    <xf numFmtId="0" fontId="3" fillId="0" borderId="127" xfId="0" applyFont="1" applyFill="1" applyBorder="1" applyAlignment="1">
      <alignment/>
    </xf>
    <xf numFmtId="5" fontId="8" fillId="0" borderId="125" xfId="15" applyNumberFormat="1" applyFont="1" applyFill="1" applyBorder="1" applyAlignment="1">
      <alignment horizontal="right" vertical="center"/>
    </xf>
    <xf numFmtId="0" fontId="3" fillId="0" borderId="12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71" fontId="3" fillId="0" borderId="31" xfId="15" applyNumberFormat="1" applyFont="1" applyFill="1" applyBorder="1" applyAlignment="1" quotePrefix="1">
      <alignment horizontal="right"/>
    </xf>
    <xf numFmtId="43" fontId="3" fillId="0" borderId="32" xfId="15" applyFont="1" applyFill="1" applyBorder="1" applyAlignment="1">
      <alignment/>
    </xf>
    <xf numFmtId="9" fontId="3" fillId="0" borderId="32" xfId="21" applyFont="1" applyFill="1" applyBorder="1" applyAlignment="1">
      <alignment/>
    </xf>
    <xf numFmtId="171" fontId="3" fillId="0" borderId="32" xfId="15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171" fontId="3" fillId="0" borderId="112" xfId="15" applyNumberFormat="1" applyFont="1" applyFill="1" applyBorder="1" applyAlignment="1">
      <alignment/>
    </xf>
    <xf numFmtId="43" fontId="3" fillId="0" borderId="119" xfId="15" applyFont="1" applyFill="1" applyBorder="1" applyAlignment="1">
      <alignment/>
    </xf>
    <xf numFmtId="0" fontId="3" fillId="0" borderId="119" xfId="0" applyFont="1" applyFill="1" applyBorder="1" applyAlignment="1">
      <alignment/>
    </xf>
    <xf numFmtId="171" fontId="3" fillId="0" borderId="119" xfId="15" applyNumberFormat="1" applyFont="1" applyFill="1" applyBorder="1" applyAlignment="1">
      <alignment/>
    </xf>
    <xf numFmtId="5" fontId="8" fillId="0" borderId="119" xfId="15" applyNumberFormat="1" applyFont="1" applyFill="1" applyBorder="1" applyAlignment="1">
      <alignment horizontal="right" vertical="center"/>
    </xf>
    <xf numFmtId="0" fontId="3" fillId="0" borderId="113" xfId="0" applyFont="1" applyFill="1" applyBorder="1" applyAlignment="1">
      <alignment/>
    </xf>
    <xf numFmtId="5" fontId="8" fillId="0" borderId="112" xfId="15" applyNumberFormat="1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left"/>
    </xf>
    <xf numFmtId="3" fontId="9" fillId="0" borderId="6" xfId="0" applyNumberFormat="1" applyFont="1" applyFill="1" applyBorder="1" applyAlignment="1" quotePrefix="1">
      <alignment horizontal="right" vertical="center"/>
    </xf>
    <xf numFmtId="0" fontId="35" fillId="6" borderId="17" xfId="0" applyFont="1" applyFill="1" applyBorder="1" applyAlignment="1">
      <alignment/>
    </xf>
    <xf numFmtId="171" fontId="3" fillId="6" borderId="18" xfId="15" applyNumberFormat="1" applyFont="1" applyFill="1" applyBorder="1" applyAlignment="1">
      <alignment/>
    </xf>
    <xf numFmtId="43" fontId="3" fillId="6" borderId="18" xfId="15" applyFont="1" applyFill="1" applyBorder="1" applyAlignment="1">
      <alignment/>
    </xf>
    <xf numFmtId="9" fontId="3" fillId="6" borderId="18" xfId="21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16" fillId="0" borderId="3" xfId="0" applyFont="1" applyFill="1" applyBorder="1" applyAlignment="1">
      <alignment vertical="center" wrapText="1"/>
    </xf>
    <xf numFmtId="0" fontId="8" fillId="0" borderId="120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NumberFormat="1" applyFont="1" applyBorder="1" applyAlignment="1">
      <alignment vertical="center" wrapText="1"/>
    </xf>
    <xf numFmtId="3" fontId="9" fillId="0" borderId="29" xfId="0" applyNumberFormat="1" applyFont="1" applyBorder="1" applyAlignment="1">
      <alignment vertical="center"/>
    </xf>
    <xf numFmtId="0" fontId="15" fillId="0" borderId="29" xfId="0" applyNumberFormat="1" applyFont="1" applyBorder="1" applyAlignment="1">
      <alignment vertical="center"/>
    </xf>
    <xf numFmtId="5" fontId="8" fillId="0" borderId="30" xfId="15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128" xfId="0" applyNumberFormat="1" applyFont="1" applyBorder="1" applyAlignment="1">
      <alignment vertical="center"/>
    </xf>
    <xf numFmtId="3" fontId="20" fillId="0" borderId="129" xfId="0" applyNumberFormat="1" applyFont="1" applyBorder="1" applyAlignment="1">
      <alignment vertical="center"/>
    </xf>
    <xf numFmtId="3" fontId="20" fillId="0" borderId="130" xfId="0" applyNumberFormat="1" applyFont="1" applyBorder="1" applyAlignment="1">
      <alignment vertical="center"/>
    </xf>
    <xf numFmtId="0" fontId="20" fillId="0" borderId="128" xfId="0" applyFont="1" applyBorder="1" applyAlignment="1">
      <alignment vertical="center" wrapText="1"/>
    </xf>
    <xf numFmtId="0" fontId="20" fillId="0" borderId="129" xfId="0" applyFont="1" applyBorder="1" applyAlignment="1">
      <alignment vertical="center" wrapText="1"/>
    </xf>
    <xf numFmtId="0" fontId="20" fillId="0" borderId="130" xfId="0" applyFont="1" applyBorder="1" applyAlignment="1">
      <alignment vertical="center" wrapText="1"/>
    </xf>
    <xf numFmtId="0" fontId="20" fillId="0" borderId="129" xfId="0" applyNumberFormat="1" applyFont="1" applyBorder="1" applyAlignment="1">
      <alignment vertical="center" wrapText="1"/>
    </xf>
    <xf numFmtId="0" fontId="20" fillId="0" borderId="130" xfId="0" applyNumberFormat="1" applyFont="1" applyBorder="1" applyAlignment="1">
      <alignment vertical="center" wrapText="1"/>
    </xf>
    <xf numFmtId="0" fontId="20" fillId="0" borderId="131" xfId="0" applyNumberFormat="1" applyFont="1" applyBorder="1" applyAlignment="1">
      <alignment vertical="center" wrapText="1"/>
    </xf>
    <xf numFmtId="0" fontId="20" fillId="0" borderId="128" xfId="0" applyNumberFormat="1" applyFont="1" applyBorder="1" applyAlignment="1">
      <alignment vertical="center"/>
    </xf>
    <xf numFmtId="0" fontId="20" fillId="0" borderId="129" xfId="0" applyNumberFormat="1" applyFont="1" applyBorder="1" applyAlignment="1">
      <alignment vertical="center"/>
    </xf>
    <xf numFmtId="0" fontId="20" fillId="0" borderId="130" xfId="0" applyNumberFormat="1" applyFont="1" applyBorder="1" applyAlignment="1">
      <alignment vertical="center"/>
    </xf>
    <xf numFmtId="171" fontId="20" fillId="0" borderId="128" xfId="15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vertical="center"/>
    </xf>
    <xf numFmtId="0" fontId="25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171" fontId="20" fillId="0" borderId="130" xfId="15" applyNumberFormat="1" applyFont="1" applyBorder="1" applyAlignment="1">
      <alignment vertical="center" wrapText="1"/>
    </xf>
    <xf numFmtId="169" fontId="8" fillId="0" borderId="19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8" fillId="0" borderId="132" xfId="0" applyFont="1" applyBorder="1" applyAlignment="1">
      <alignment horizontal="left" vertical="center" wrapText="1"/>
    </xf>
    <xf numFmtId="5" fontId="8" fillId="0" borderId="133" xfId="15" applyNumberFormat="1" applyFont="1" applyFill="1" applyBorder="1" applyAlignment="1">
      <alignment horizontal="left" vertical="center"/>
    </xf>
    <xf numFmtId="171" fontId="20" fillId="0" borderId="129" xfId="15" applyNumberFormat="1" applyFont="1" applyBorder="1" applyAlignment="1">
      <alignment vertical="center" wrapText="1"/>
    </xf>
    <xf numFmtId="0" fontId="8" fillId="0" borderId="13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5" fontId="6" fillId="3" borderId="90" xfId="15" applyNumberFormat="1" applyFont="1" applyFill="1" applyBorder="1" applyAlignment="1">
      <alignment horizontal="left" vertical="center"/>
    </xf>
    <xf numFmtId="5" fontId="15" fillId="0" borderId="72" xfId="15" applyNumberFormat="1" applyFont="1" applyFill="1" applyBorder="1" applyAlignment="1">
      <alignment horizontal="left" vertical="center"/>
    </xf>
    <xf numFmtId="3" fontId="6" fillId="3" borderId="134" xfId="0" applyNumberFormat="1" applyFont="1" applyFill="1" applyBorder="1" applyAlignment="1">
      <alignment vertical="center" wrapText="1"/>
    </xf>
    <xf numFmtId="5" fontId="6" fillId="3" borderId="42" xfId="15" applyNumberFormat="1" applyFont="1" applyFill="1" applyBorder="1" applyAlignment="1">
      <alignment horizontal="left" vertical="center"/>
    </xf>
    <xf numFmtId="0" fontId="8" fillId="0" borderId="67" xfId="0" applyNumberFormat="1" applyFont="1" applyBorder="1" applyAlignment="1">
      <alignment vertical="center"/>
    </xf>
    <xf numFmtId="5" fontId="20" fillId="0" borderId="62" xfId="15" applyNumberFormat="1" applyFont="1" applyBorder="1" applyAlignment="1">
      <alignment horizontal="left" vertical="center"/>
    </xf>
    <xf numFmtId="5" fontId="20" fillId="0" borderId="135" xfId="15" applyNumberFormat="1" applyFont="1" applyFill="1" applyBorder="1" applyAlignment="1">
      <alignment horizontal="left" vertical="center"/>
    </xf>
    <xf numFmtId="5" fontId="40" fillId="0" borderId="135" xfId="15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41" fillId="0" borderId="0" xfId="0" applyFont="1" applyBorder="1" applyAlignment="1">
      <alignment/>
    </xf>
    <xf numFmtId="0" fontId="0" fillId="0" borderId="27" xfId="0" applyBorder="1" applyAlignment="1">
      <alignment/>
    </xf>
    <xf numFmtId="0" fontId="41" fillId="0" borderId="6" xfId="0" applyFont="1" applyBorder="1" applyAlignment="1">
      <alignment/>
    </xf>
    <xf numFmtId="6" fontId="0" fillId="0" borderId="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136" xfId="0" applyFont="1" applyFill="1" applyBorder="1" applyAlignment="1">
      <alignment vertical="center" wrapText="1"/>
    </xf>
    <xf numFmtId="0" fontId="41" fillId="0" borderId="82" xfId="0" applyFont="1" applyBorder="1" applyAlignment="1">
      <alignment/>
    </xf>
    <xf numFmtId="0" fontId="0" fillId="0" borderId="82" xfId="0" applyBorder="1" applyAlignment="1">
      <alignment/>
    </xf>
    <xf numFmtId="6" fontId="0" fillId="0" borderId="133" xfId="0" applyNumberFormat="1" applyBorder="1" applyAlignment="1">
      <alignment/>
    </xf>
    <xf numFmtId="0" fontId="8" fillId="0" borderId="33" xfId="0" applyFont="1" applyFill="1" applyBorder="1" applyAlignment="1">
      <alignment vertical="center" wrapText="1"/>
    </xf>
    <xf numFmtId="0" fontId="16" fillId="0" borderId="73" xfId="0" applyFont="1" applyFill="1" applyBorder="1" applyAlignment="1">
      <alignment vertical="center" wrapText="1"/>
    </xf>
    <xf numFmtId="0" fontId="0" fillId="0" borderId="74" xfId="0" applyBorder="1" applyAlignment="1">
      <alignment horizontal="right"/>
    </xf>
    <xf numFmtId="0" fontId="0" fillId="0" borderId="74" xfId="0" applyBorder="1" applyAlignment="1">
      <alignment/>
    </xf>
    <xf numFmtId="0" fontId="0" fillId="0" borderId="75" xfId="0" applyBorder="1" applyAlignment="1">
      <alignment horizontal="right"/>
    </xf>
    <xf numFmtId="0" fontId="0" fillId="0" borderId="22" xfId="0" applyBorder="1" applyAlignment="1">
      <alignment/>
    </xf>
    <xf numFmtId="6" fontId="0" fillId="0" borderId="14" xfId="0" applyNumberFormat="1" applyBorder="1" applyAlignment="1">
      <alignment/>
    </xf>
    <xf numFmtId="0" fontId="0" fillId="0" borderId="136" xfId="0" applyBorder="1" applyAlignment="1">
      <alignment/>
    </xf>
    <xf numFmtId="6" fontId="41" fillId="0" borderId="82" xfId="0" applyNumberFormat="1" applyFont="1" applyBorder="1" applyAlignment="1">
      <alignment/>
    </xf>
    <xf numFmtId="42" fontId="9" fillId="0" borderId="137" xfId="0" applyNumberFormat="1" applyFont="1" applyFill="1" applyBorder="1" applyAlignment="1">
      <alignment/>
    </xf>
    <xf numFmtId="0" fontId="9" fillId="0" borderId="96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center"/>
    </xf>
    <xf numFmtId="0" fontId="9" fillId="7" borderId="98" xfId="0" applyFont="1" applyFill="1" applyBorder="1" applyAlignment="1">
      <alignment wrapText="1"/>
    </xf>
    <xf numFmtId="171" fontId="9" fillId="7" borderId="96" xfId="15" applyNumberFormat="1" applyFont="1" applyFill="1" applyBorder="1" applyAlignment="1">
      <alignment wrapText="1"/>
    </xf>
    <xf numFmtId="42" fontId="9" fillId="7" borderId="96" xfId="0" applyNumberFormat="1" applyFont="1" applyFill="1" applyBorder="1" applyAlignment="1">
      <alignment wrapText="1"/>
    </xf>
    <xf numFmtId="0" fontId="9" fillId="7" borderId="96" xfId="0" applyFont="1" applyFill="1" applyBorder="1" applyAlignment="1">
      <alignment wrapText="1"/>
    </xf>
    <xf numFmtId="42" fontId="9" fillId="7" borderId="96" xfId="0" applyNumberFormat="1" applyFont="1" applyFill="1" applyBorder="1" applyAlignment="1">
      <alignment/>
    </xf>
    <xf numFmtId="3" fontId="9" fillId="7" borderId="96" xfId="0" applyNumberFormat="1" applyFont="1" applyFill="1" applyBorder="1" applyAlignment="1">
      <alignment/>
    </xf>
    <xf numFmtId="3" fontId="9" fillId="7" borderId="97" xfId="0" applyNumberFormat="1" applyFont="1" applyFill="1" applyBorder="1" applyAlignment="1">
      <alignment horizontal="right"/>
    </xf>
    <xf numFmtId="0" fontId="0" fillId="7" borderId="0" xfId="0" applyFill="1" applyAlignment="1">
      <alignment/>
    </xf>
    <xf numFmtId="0" fontId="23" fillId="7" borderId="0" xfId="0" applyFont="1" applyFill="1" applyBorder="1" applyAlignment="1">
      <alignment/>
    </xf>
    <xf numFmtId="0" fontId="23" fillId="7" borderId="0" xfId="0" applyFont="1" applyFill="1" applyAlignment="1">
      <alignment/>
    </xf>
    <xf numFmtId="3" fontId="9" fillId="7" borderId="102" xfId="0" applyNumberFormat="1" applyFont="1" applyFill="1" applyBorder="1" applyAlignment="1">
      <alignment horizontal="right"/>
    </xf>
    <xf numFmtId="0" fontId="27" fillId="7" borderId="98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vertical="center"/>
    </xf>
    <xf numFmtId="5" fontId="9" fillId="8" borderId="96" xfId="15" applyNumberFormat="1" applyFont="1" applyFill="1" applyBorder="1" applyAlignment="1">
      <alignment horizontal="right" vertical="center"/>
    </xf>
    <xf numFmtId="5" fontId="9" fillId="8" borderId="107" xfId="15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3" fontId="8" fillId="8" borderId="13" xfId="0" applyNumberFormat="1" applyFont="1" applyFill="1" applyBorder="1" applyAlignment="1">
      <alignment horizontal="right"/>
    </xf>
    <xf numFmtId="0" fontId="8" fillId="8" borderId="27" xfId="0" applyFont="1" applyFill="1" applyBorder="1" applyAlignment="1">
      <alignment vertical="center" wrapText="1"/>
    </xf>
    <xf numFmtId="3" fontId="8" fillId="8" borderId="11" xfId="0" applyNumberFormat="1" applyFont="1" applyFill="1" applyBorder="1" applyAlignment="1">
      <alignment horizontal="right" vertical="center"/>
    </xf>
    <xf numFmtId="3" fontId="8" fillId="8" borderId="4" xfId="0" applyNumberFormat="1" applyFont="1" applyFill="1" applyBorder="1" applyAlignment="1">
      <alignment horizontal="right" vertical="center"/>
    </xf>
    <xf numFmtId="3" fontId="8" fillId="8" borderId="11" xfId="0" applyNumberFormat="1" applyFont="1" applyFill="1" applyBorder="1" applyAlignment="1">
      <alignment horizontal="right"/>
    </xf>
    <xf numFmtId="3" fontId="8" fillId="8" borderId="5" xfId="0" applyNumberFormat="1" applyFont="1" applyFill="1" applyBorder="1" applyAlignment="1">
      <alignment horizontal="right"/>
    </xf>
    <xf numFmtId="3" fontId="8" fillId="8" borderId="13" xfId="0" applyNumberFormat="1" applyFont="1" applyFill="1" applyBorder="1" applyAlignment="1">
      <alignment horizontal="right" vertical="center"/>
    </xf>
    <xf numFmtId="3" fontId="8" fillId="8" borderId="11" xfId="0" applyNumberFormat="1" applyFont="1" applyFill="1" applyBorder="1" applyAlignment="1" quotePrefix="1">
      <alignment horizontal="right" vertical="center"/>
    </xf>
    <xf numFmtId="3" fontId="8" fillId="8" borderId="5" xfId="0" applyNumberFormat="1" applyFont="1" applyFill="1" applyBorder="1" applyAlignment="1" quotePrefix="1">
      <alignment horizontal="right" vertical="center"/>
    </xf>
    <xf numFmtId="3" fontId="8" fillId="8" borderId="13" xfId="0" applyNumberFormat="1" applyFont="1" applyFill="1" applyBorder="1" applyAlignment="1" quotePrefix="1">
      <alignment horizontal="right" vertical="center"/>
    </xf>
    <xf numFmtId="3" fontId="9" fillId="8" borderId="15" xfId="0" applyNumberFormat="1" applyFont="1" applyFill="1" applyBorder="1" applyAlignment="1">
      <alignment vertical="center"/>
    </xf>
    <xf numFmtId="5" fontId="8" fillId="8" borderId="13" xfId="15" applyNumberFormat="1" applyFont="1" applyFill="1" applyBorder="1" applyAlignment="1">
      <alignment horizontal="left" vertical="center"/>
    </xf>
    <xf numFmtId="0" fontId="0" fillId="8" borderId="0" xfId="0" applyFill="1" applyAlignment="1">
      <alignment/>
    </xf>
    <xf numFmtId="0" fontId="1" fillId="8" borderId="0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3" fontId="8" fillId="8" borderId="5" xfId="0" applyNumberFormat="1" applyFont="1" applyFill="1" applyBorder="1" applyAlignment="1">
      <alignment horizontal="right" vertical="center"/>
    </xf>
    <xf numFmtId="3" fontId="8" fillId="8" borderId="11" xfId="0" applyNumberFormat="1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3" fontId="8" fillId="8" borderId="4" xfId="0" applyNumberFormat="1" applyFont="1" applyFill="1" applyBorder="1" applyAlignment="1" quotePrefix="1">
      <alignment horizontal="right" vertical="center"/>
    </xf>
    <xf numFmtId="3" fontId="8" fillId="8" borderId="15" xfId="0" applyNumberFormat="1" applyFont="1" applyFill="1" applyBorder="1" applyAlignment="1">
      <alignment vertical="center"/>
    </xf>
    <xf numFmtId="5" fontId="8" fillId="8" borderId="15" xfId="15" applyNumberFormat="1" applyFont="1" applyFill="1" applyBorder="1" applyAlignment="1">
      <alignment horizontal="left" vertical="center" wrapText="1"/>
    </xf>
    <xf numFmtId="0" fontId="8" fillId="8" borderId="37" xfId="0" applyFont="1" applyFill="1" applyBorder="1" applyAlignment="1">
      <alignment vertical="center" wrapText="1"/>
    </xf>
    <xf numFmtId="3" fontId="8" fillId="8" borderId="38" xfId="0" applyNumberFormat="1" applyFont="1" applyFill="1" applyBorder="1" applyAlignment="1">
      <alignment horizontal="right" vertical="center"/>
    </xf>
    <xf numFmtId="3" fontId="8" fillId="8" borderId="20" xfId="0" applyNumberFormat="1" applyFont="1" applyFill="1" applyBorder="1" applyAlignment="1">
      <alignment horizontal="right" vertical="center"/>
    </xf>
    <xf numFmtId="3" fontId="8" fillId="8" borderId="38" xfId="0" applyNumberFormat="1" applyFont="1" applyFill="1" applyBorder="1" applyAlignment="1" quotePrefix="1">
      <alignment horizontal="right" vertical="center"/>
    </xf>
    <xf numFmtId="3" fontId="8" fillId="8" borderId="21" xfId="0" applyNumberFormat="1" applyFont="1" applyFill="1" applyBorder="1" applyAlignment="1" quotePrefix="1">
      <alignment horizontal="right" vertical="center"/>
    </xf>
    <xf numFmtId="3" fontId="8" fillId="8" borderId="51" xfId="0" applyNumberFormat="1" applyFont="1" applyFill="1" applyBorder="1" applyAlignment="1" quotePrefix="1">
      <alignment horizontal="right" vertical="center"/>
    </xf>
    <xf numFmtId="3" fontId="9" fillId="8" borderId="50" xfId="0" applyNumberFormat="1" applyFont="1" applyFill="1" applyBorder="1" applyAlignment="1">
      <alignment vertical="center"/>
    </xf>
    <xf numFmtId="5" fontId="8" fillId="8" borderId="51" xfId="15" applyNumberFormat="1" applyFont="1" applyFill="1" applyBorder="1" applyAlignment="1">
      <alignment horizontal="right" vertical="center"/>
    </xf>
    <xf numFmtId="5" fontId="8" fillId="8" borderId="15" xfId="15" applyNumberFormat="1" applyFont="1" applyFill="1" applyBorder="1" applyAlignment="1">
      <alignment horizontal="right" vertical="center"/>
    </xf>
    <xf numFmtId="3" fontId="8" fillId="8" borderId="9" xfId="0" applyNumberFormat="1" applyFont="1" applyFill="1" applyBorder="1" applyAlignment="1">
      <alignment horizontal="right"/>
    </xf>
    <xf numFmtId="3" fontId="8" fillId="8" borderId="21" xfId="0" applyNumberFormat="1" applyFont="1" applyFill="1" applyBorder="1" applyAlignment="1">
      <alignment horizontal="right" vertical="center"/>
    </xf>
    <xf numFmtId="3" fontId="8" fillId="8" borderId="12" xfId="0" applyNumberFormat="1" applyFont="1" applyFill="1" applyBorder="1" applyAlignment="1">
      <alignment horizontal="right"/>
    </xf>
    <xf numFmtId="5" fontId="0" fillId="0" borderId="0" xfId="0" applyNumberFormat="1" applyAlignment="1">
      <alignment/>
    </xf>
    <xf numFmtId="169" fontId="13" fillId="2" borderId="29" xfId="0" applyNumberFormat="1" applyFont="1" applyFill="1" applyBorder="1" applyAlignment="1">
      <alignment horizontal="right" vertical="center" wrapText="1"/>
    </xf>
    <xf numFmtId="169" fontId="8" fillId="0" borderId="6" xfId="0" applyNumberFormat="1" applyFont="1" applyFill="1" applyBorder="1" applyAlignment="1">
      <alignment vertical="center"/>
    </xf>
    <xf numFmtId="169" fontId="8" fillId="0" borderId="22" xfId="0" applyNumberFormat="1" applyFont="1" applyFill="1" applyBorder="1" applyAlignment="1">
      <alignment vertical="center"/>
    </xf>
    <xf numFmtId="169" fontId="15" fillId="0" borderId="18" xfId="0" applyNumberFormat="1" applyFont="1" applyBorder="1" applyAlignment="1">
      <alignment vertical="center"/>
    </xf>
    <xf numFmtId="169" fontId="8" fillId="0" borderId="29" xfId="0" applyNumberFormat="1" applyFont="1" applyFill="1" applyBorder="1" applyAlignment="1">
      <alignment vertical="center"/>
    </xf>
    <xf numFmtId="169" fontId="15" fillId="0" borderId="29" xfId="0" applyNumberFormat="1" applyFont="1" applyBorder="1" applyAlignment="1">
      <alignment vertical="center"/>
    </xf>
    <xf numFmtId="171" fontId="21" fillId="0" borderId="0" xfId="15" applyNumberFormat="1" applyFont="1" applyBorder="1" applyAlignment="1">
      <alignment horizontal="left" vertical="center" wrapText="1"/>
    </xf>
    <xf numFmtId="43" fontId="21" fillId="0" borderId="0" xfId="15" applyFont="1" applyBorder="1" applyAlignment="1">
      <alignment horizontal="left" vertical="center" wrapText="1"/>
    </xf>
    <xf numFmtId="9" fontId="21" fillId="0" borderId="0" xfId="21" applyFont="1" applyBorder="1" applyAlignment="1">
      <alignment horizontal="left" vertical="center" wrapText="1"/>
    </xf>
    <xf numFmtId="171" fontId="21" fillId="0" borderId="0" xfId="15" applyNumberFormat="1" applyFont="1" applyBorder="1" applyAlignment="1">
      <alignment vertical="center"/>
    </xf>
    <xf numFmtId="9" fontId="24" fillId="0" borderId="0" xfId="0" applyNumberFormat="1" applyFont="1" applyBorder="1" applyAlignment="1">
      <alignment vertical="center"/>
    </xf>
    <xf numFmtId="9" fontId="21" fillId="0" borderId="0" xfId="21" applyFont="1" applyBorder="1" applyAlignment="1">
      <alignment horizontal="center" vertical="center" wrapText="1"/>
    </xf>
    <xf numFmtId="10" fontId="8" fillId="0" borderId="6" xfId="21" applyNumberFormat="1" applyFont="1" applyFill="1" applyBorder="1" applyAlignment="1">
      <alignment vertical="center"/>
    </xf>
    <xf numFmtId="171" fontId="9" fillId="0" borderId="96" xfId="15" applyNumberFormat="1" applyFont="1" applyFill="1" applyBorder="1" applyAlignment="1">
      <alignment horizontal="right" vertical="center"/>
    </xf>
    <xf numFmtId="0" fontId="25" fillId="0" borderId="31" xfId="0" applyFont="1" applyBorder="1" applyAlignment="1">
      <alignment/>
    </xf>
    <xf numFmtId="0" fontId="8" fillId="8" borderId="38" xfId="0" applyNumberFormat="1" applyFont="1" applyFill="1" applyBorder="1" applyAlignment="1" quotePrefix="1">
      <alignment horizontal="right" vertical="center" wrapText="1"/>
    </xf>
    <xf numFmtId="0" fontId="8" fillId="8" borderId="21" xfId="0" applyNumberFormat="1" applyFont="1" applyFill="1" applyBorder="1" applyAlignment="1" quotePrefix="1">
      <alignment horizontal="right" vertical="center" wrapText="1"/>
    </xf>
    <xf numFmtId="0" fontId="8" fillId="8" borderId="51" xfId="0" applyNumberFormat="1" applyFont="1" applyFill="1" applyBorder="1" applyAlignment="1" quotePrefix="1">
      <alignment horizontal="right" vertical="center" wrapText="1"/>
    </xf>
    <xf numFmtId="3" fontId="8" fillId="8" borderId="50" xfId="0" applyNumberFormat="1" applyFont="1" applyFill="1" applyBorder="1" applyAlignment="1">
      <alignment vertical="center"/>
    </xf>
    <xf numFmtId="9" fontId="21" fillId="0" borderId="29" xfId="21" applyFont="1" applyBorder="1" applyAlignment="1">
      <alignment horizontal="left" vertical="center" wrapText="1"/>
    </xf>
    <xf numFmtId="171" fontId="21" fillId="0" borderId="29" xfId="15" applyNumberFormat="1" applyFont="1" applyBorder="1" applyAlignment="1">
      <alignment vertical="center"/>
    </xf>
    <xf numFmtId="0" fontId="8" fillId="0" borderId="48" xfId="0" applyNumberFormat="1" applyFont="1" applyBorder="1" applyAlignment="1">
      <alignment vertical="center"/>
    </xf>
    <xf numFmtId="3" fontId="20" fillId="0" borderId="138" xfId="0" applyNumberFormat="1" applyFont="1" applyFill="1" applyBorder="1" applyAlignment="1">
      <alignment vertical="center" wrapText="1"/>
    </xf>
    <xf numFmtId="3" fontId="20" fillId="0" borderId="66" xfId="0" applyNumberFormat="1" applyFont="1" applyFill="1" applyBorder="1" applyAlignment="1">
      <alignment vertical="center" wrapText="1"/>
    </xf>
    <xf numFmtId="3" fontId="40" fillId="0" borderId="139" xfId="0" applyNumberFormat="1" applyFont="1" applyFill="1" applyBorder="1" applyAlignment="1">
      <alignment vertical="center" wrapText="1"/>
    </xf>
    <xf numFmtId="3" fontId="20" fillId="0" borderId="28" xfId="0" applyNumberFormat="1" applyFont="1" applyFill="1" applyBorder="1" applyAlignment="1">
      <alignment vertical="center" wrapText="1"/>
    </xf>
    <xf numFmtId="3" fontId="20" fillId="0" borderId="29" xfId="0" applyNumberFormat="1" applyFont="1" applyFill="1" applyBorder="1" applyAlignment="1">
      <alignment vertical="center" wrapText="1"/>
    </xf>
    <xf numFmtId="3" fontId="40" fillId="0" borderId="30" xfId="0" applyNumberFormat="1" applyFont="1" applyFill="1" applyBorder="1" applyAlignment="1">
      <alignment vertical="center" wrapText="1"/>
    </xf>
    <xf numFmtId="3" fontId="20" fillId="0" borderId="26" xfId="0" applyNumberFormat="1" applyFont="1" applyFill="1" applyBorder="1" applyAlignment="1">
      <alignment vertical="center" wrapText="1"/>
    </xf>
    <xf numFmtId="3" fontId="40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171" fontId="8" fillId="0" borderId="62" xfId="15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3" fontId="8" fillId="0" borderId="31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vertical="center" wrapText="1"/>
    </xf>
    <xf numFmtId="3" fontId="20" fillId="0" borderId="140" xfId="0" applyNumberFormat="1" applyFont="1" applyFill="1" applyBorder="1" applyAlignment="1">
      <alignment vertical="center" wrapText="1"/>
    </xf>
    <xf numFmtId="3" fontId="40" fillId="0" borderId="140" xfId="0" applyNumberFormat="1" applyFont="1" applyFill="1" applyBorder="1" applyAlignment="1">
      <alignment vertical="center" wrapText="1"/>
    </xf>
    <xf numFmtId="0" fontId="8" fillId="0" borderId="26" xfId="0" applyNumberFormat="1" applyFont="1" applyBorder="1" applyAlignment="1">
      <alignment vertical="center" wrapText="1"/>
    </xf>
    <xf numFmtId="0" fontId="8" fillId="0" borderId="31" xfId="0" applyNumberFormat="1" applyFont="1" applyBorder="1" applyAlignment="1">
      <alignment vertical="center" wrapText="1"/>
    </xf>
    <xf numFmtId="0" fontId="8" fillId="0" borderId="28" xfId="0" applyNumberFormat="1" applyFont="1" applyBorder="1" applyAlignment="1">
      <alignment vertical="center" wrapText="1"/>
    </xf>
    <xf numFmtId="0" fontId="8" fillId="0" borderId="30" xfId="0" applyNumberFormat="1" applyFont="1" applyBorder="1" applyAlignment="1">
      <alignment vertical="center" wrapText="1"/>
    </xf>
    <xf numFmtId="0" fontId="8" fillId="0" borderId="62" xfId="0" applyNumberFormat="1" applyFont="1" applyBorder="1" applyAlignment="1">
      <alignment vertical="center" wrapText="1"/>
    </xf>
    <xf numFmtId="3" fontId="20" fillId="0" borderId="48" xfId="0" applyNumberFormat="1" applyFont="1" applyFill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0" fontId="8" fillId="0" borderId="28" xfId="0" applyNumberFormat="1" applyFont="1" applyBorder="1" applyAlignment="1">
      <alignment vertical="center"/>
    </xf>
    <xf numFmtId="0" fontId="8" fillId="0" borderId="30" xfId="0" applyNumberFormat="1" applyFont="1" applyBorder="1" applyAlignment="1">
      <alignment vertical="center"/>
    </xf>
    <xf numFmtId="0" fontId="8" fillId="0" borderId="31" xfId="0" applyNumberFormat="1" applyFont="1" applyBorder="1" applyAlignment="1">
      <alignment vertical="center"/>
    </xf>
    <xf numFmtId="3" fontId="40" fillId="0" borderId="135" xfId="0" applyNumberFormat="1" applyFont="1" applyFill="1" applyBorder="1" applyAlignment="1">
      <alignment vertical="center" wrapText="1"/>
    </xf>
    <xf numFmtId="3" fontId="20" fillId="0" borderId="135" xfId="0" applyNumberFormat="1" applyFont="1" applyFill="1" applyBorder="1" applyAlignment="1">
      <alignment vertical="center" wrapText="1"/>
    </xf>
    <xf numFmtId="3" fontId="20" fillId="0" borderId="62" xfId="0" applyNumberFormat="1" applyFont="1" applyBorder="1" applyAlignment="1">
      <alignment vertical="center"/>
    </xf>
    <xf numFmtId="3" fontId="40" fillId="0" borderId="141" xfId="0" applyNumberFormat="1" applyFont="1" applyFill="1" applyBorder="1" applyAlignment="1">
      <alignment vertical="center" wrapText="1"/>
    </xf>
    <xf numFmtId="3" fontId="8" fillId="0" borderId="26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5" fontId="8" fillId="0" borderId="25" xfId="15" applyNumberFormat="1" applyFont="1" applyBorder="1" applyAlignment="1">
      <alignment horizontal="right" vertical="center"/>
    </xf>
    <xf numFmtId="5" fontId="8" fillId="0" borderId="3" xfId="15" applyNumberFormat="1" applyFont="1" applyBorder="1" applyAlignment="1">
      <alignment horizontal="right" vertical="center"/>
    </xf>
    <xf numFmtId="5" fontId="8" fillId="0" borderId="89" xfId="15" applyNumberFormat="1" applyFont="1" applyBorder="1" applyAlignment="1">
      <alignment horizontal="right" vertical="center"/>
    </xf>
    <xf numFmtId="0" fontId="36" fillId="0" borderId="8" xfId="0" applyFont="1" applyFill="1" applyBorder="1" applyAlignment="1">
      <alignment vertical="center" wrapText="1"/>
    </xf>
    <xf numFmtId="3" fontId="40" fillId="0" borderId="3" xfId="0" applyNumberFormat="1" applyFont="1" applyFill="1" applyBorder="1" applyAlignment="1">
      <alignment vertical="center" wrapText="1"/>
    </xf>
    <xf numFmtId="5" fontId="40" fillId="0" borderId="14" xfId="15" applyNumberFormat="1" applyFont="1" applyFill="1" applyBorder="1" applyAlignment="1">
      <alignment horizontal="left" vertical="center"/>
    </xf>
    <xf numFmtId="0" fontId="36" fillId="0" borderId="28" xfId="0" applyFont="1" applyFill="1" applyBorder="1" applyAlignment="1">
      <alignment vertical="center" wrapText="1"/>
    </xf>
    <xf numFmtId="3" fontId="40" fillId="0" borderId="42" xfId="0" applyNumberFormat="1" applyFont="1" applyFill="1" applyBorder="1" applyAlignment="1">
      <alignment vertical="center" wrapText="1"/>
    </xf>
    <xf numFmtId="5" fontId="40" fillId="0" borderId="42" xfId="15" applyNumberFormat="1" applyFont="1" applyFill="1" applyBorder="1" applyAlignment="1">
      <alignment horizontal="left" vertical="center"/>
    </xf>
    <xf numFmtId="0" fontId="36" fillId="0" borderId="26" xfId="0" applyFont="1" applyFill="1" applyBorder="1" applyAlignment="1">
      <alignment vertical="center" wrapText="1"/>
    </xf>
    <xf numFmtId="10" fontId="15" fillId="0" borderId="18" xfId="21" applyNumberFormat="1" applyFont="1" applyFill="1" applyBorder="1" applyAlignment="1">
      <alignment vertical="center"/>
    </xf>
    <xf numFmtId="171" fontId="13" fillId="2" borderId="142" xfId="15" applyNumberFormat="1" applyFont="1" applyFill="1" applyBorder="1" applyAlignment="1">
      <alignment horizontal="center" vertical="center" wrapText="1"/>
    </xf>
    <xf numFmtId="169" fontId="13" fillId="2" borderId="104" xfId="0" applyNumberFormat="1" applyFont="1" applyFill="1" applyBorder="1" applyAlignment="1">
      <alignment horizontal="right" vertical="center" wrapText="1"/>
    </xf>
    <xf numFmtId="169" fontId="13" fillId="2" borderId="119" xfId="0" applyNumberFormat="1" applyFont="1" applyFill="1" applyBorder="1" applyAlignment="1">
      <alignment horizontal="center" vertical="center" wrapText="1"/>
    </xf>
    <xf numFmtId="171" fontId="15" fillId="0" borderId="29" xfId="15" applyNumberFormat="1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169" fontId="8" fillId="0" borderId="104" xfId="0" applyNumberFormat="1" applyFont="1" applyFill="1" applyBorder="1" applyAlignment="1">
      <alignment vertical="center"/>
    </xf>
    <xf numFmtId="169" fontId="8" fillId="0" borderId="96" xfId="0" applyNumberFormat="1" applyFont="1" applyFill="1" applyBorder="1" applyAlignment="1">
      <alignment vertical="center"/>
    </xf>
    <xf numFmtId="169" fontId="15" fillId="0" borderId="106" xfId="0" applyNumberFormat="1" applyFont="1" applyFill="1" applyBorder="1" applyAlignment="1">
      <alignment vertical="center"/>
    </xf>
    <xf numFmtId="169" fontId="8" fillId="0" borderId="105" xfId="0" applyNumberFormat="1" applyFont="1" applyFill="1" applyBorder="1" applyAlignment="1">
      <alignment vertical="center"/>
    </xf>
    <xf numFmtId="169" fontId="15" fillId="0" borderId="106" xfId="0" applyNumberFormat="1" applyFont="1" applyBorder="1" applyAlignment="1">
      <alignment vertical="center"/>
    </xf>
    <xf numFmtId="169" fontId="8" fillId="0" borderId="143" xfId="0" applyNumberFormat="1" applyFont="1" applyFill="1" applyBorder="1" applyAlignment="1">
      <alignment vertical="center"/>
    </xf>
    <xf numFmtId="169" fontId="8" fillId="0" borderId="137" xfId="0" applyNumberFormat="1" applyFont="1" applyFill="1" applyBorder="1" applyAlignment="1">
      <alignment vertical="center"/>
    </xf>
    <xf numFmtId="169" fontId="8" fillId="0" borderId="144" xfId="0" applyNumberFormat="1" applyFont="1" applyFill="1" applyBorder="1" applyAlignment="1">
      <alignment vertical="center"/>
    </xf>
    <xf numFmtId="169" fontId="15" fillId="0" borderId="143" xfId="0" applyNumberFormat="1" applyFont="1" applyBorder="1" applyAlignment="1">
      <alignment vertical="center"/>
    </xf>
    <xf numFmtId="169" fontId="8" fillId="0" borderId="142" xfId="0" applyNumberFormat="1" applyFont="1" applyBorder="1" applyAlignment="1">
      <alignment vertical="center"/>
    </xf>
    <xf numFmtId="169" fontId="15" fillId="0" borderId="145" xfId="0" applyNumberFormat="1" applyFont="1" applyBorder="1" applyAlignment="1">
      <alignment vertical="center"/>
    </xf>
    <xf numFmtId="169" fontId="13" fillId="2" borderId="146" xfId="0" applyNumberFormat="1" applyFont="1" applyFill="1" applyBorder="1" applyAlignment="1">
      <alignment horizontal="right" vertical="center" wrapText="1"/>
    </xf>
    <xf numFmtId="169" fontId="13" fillId="2" borderId="147" xfId="0" applyNumberFormat="1" applyFont="1" applyFill="1" applyBorder="1" applyAlignment="1">
      <alignment horizontal="center" vertical="center" wrapText="1"/>
    </xf>
    <xf numFmtId="0" fontId="1" fillId="0" borderId="146" xfId="0" applyFont="1" applyFill="1" applyBorder="1" applyAlignment="1">
      <alignment vertical="center"/>
    </xf>
    <xf numFmtId="169" fontId="8" fillId="0" borderId="148" xfId="0" applyNumberFormat="1" applyFont="1" applyFill="1" applyBorder="1" applyAlignment="1">
      <alignment vertical="center"/>
    </xf>
    <xf numFmtId="169" fontId="15" fillId="0" borderId="149" xfId="0" applyNumberFormat="1" applyFont="1" applyFill="1" applyBorder="1" applyAlignment="1">
      <alignment vertical="center"/>
    </xf>
    <xf numFmtId="169" fontId="8" fillId="0" borderId="150" xfId="0" applyNumberFormat="1" applyFont="1" applyFill="1" applyBorder="1" applyAlignment="1">
      <alignment vertical="center"/>
    </xf>
    <xf numFmtId="169" fontId="8" fillId="0" borderId="151" xfId="0" applyNumberFormat="1" applyFont="1" applyFill="1" applyBorder="1" applyAlignment="1">
      <alignment vertical="center"/>
    </xf>
    <xf numFmtId="169" fontId="15" fillId="0" borderId="149" xfId="0" applyNumberFormat="1" applyFont="1" applyBorder="1" applyAlignment="1">
      <alignment vertical="center"/>
    </xf>
    <xf numFmtId="169" fontId="8" fillId="0" borderId="146" xfId="0" applyNumberFormat="1" applyFont="1" applyFill="1" applyBorder="1" applyAlignment="1">
      <alignment vertical="center"/>
    </xf>
    <xf numFmtId="10" fontId="8" fillId="9" borderId="96" xfId="21" applyNumberFormat="1" applyFont="1" applyFill="1" applyBorder="1" applyAlignment="1">
      <alignment vertical="center"/>
    </xf>
    <xf numFmtId="10" fontId="8" fillId="0" borderId="97" xfId="21" applyNumberFormat="1" applyFont="1" applyFill="1" applyBorder="1" applyAlignment="1">
      <alignment vertical="center"/>
    </xf>
    <xf numFmtId="10" fontId="8" fillId="0" borderId="97" xfId="0" applyNumberFormat="1" applyFont="1" applyFill="1" applyBorder="1" applyAlignment="1">
      <alignment vertical="center"/>
    </xf>
    <xf numFmtId="9" fontId="15" fillId="0" borderId="110" xfId="0" applyNumberFormat="1" applyFont="1" applyFill="1" applyBorder="1" applyAlignment="1">
      <alignment vertical="center"/>
    </xf>
    <xf numFmtId="9" fontId="15" fillId="0" borderId="110" xfId="21" applyFont="1" applyBorder="1" applyAlignment="1">
      <alignment vertical="center"/>
    </xf>
    <xf numFmtId="171" fontId="21" fillId="0" borderId="111" xfId="15" applyNumberFormat="1" applyFont="1" applyBorder="1" applyAlignment="1">
      <alignment horizontal="left" vertical="center" wrapText="1"/>
    </xf>
    <xf numFmtId="43" fontId="21" fillId="0" borderId="104" xfId="15" applyFont="1" applyBorder="1" applyAlignment="1">
      <alignment horizontal="left" vertical="center" wrapText="1"/>
    </xf>
    <xf numFmtId="0" fontId="21" fillId="0" borderId="104" xfId="0" applyNumberFormat="1" applyFont="1" applyBorder="1" applyAlignment="1">
      <alignment horizontal="left" vertical="center" wrapText="1"/>
    </xf>
    <xf numFmtId="171" fontId="21" fillId="0" borderId="104" xfId="15" applyNumberFormat="1" applyFont="1" applyBorder="1" applyAlignment="1">
      <alignment vertical="center"/>
    </xf>
    <xf numFmtId="42" fontId="21" fillId="0" borderId="104" xfId="0" applyNumberFormat="1" applyFont="1" applyBorder="1" applyAlignment="1">
      <alignment vertical="center"/>
    </xf>
    <xf numFmtId="169" fontId="24" fillId="0" borderId="104" xfId="0" applyNumberFormat="1" applyFont="1" applyBorder="1" applyAlignment="1">
      <alignment vertical="center"/>
    </xf>
    <xf numFmtId="169" fontId="21" fillId="0" borderId="104" xfId="0" applyNumberFormat="1" applyFont="1" applyBorder="1" applyAlignment="1">
      <alignment vertical="center"/>
    </xf>
    <xf numFmtId="169" fontId="21" fillId="0" borderId="30" xfId="0" applyNumberFormat="1" applyFont="1" applyBorder="1" applyAlignment="1">
      <alignment vertical="center"/>
    </xf>
    <xf numFmtId="169" fontId="24" fillId="0" borderId="111" xfId="0" applyNumberFormat="1" applyFont="1" applyBorder="1" applyAlignment="1">
      <alignment vertical="center"/>
    </xf>
    <xf numFmtId="0" fontId="21" fillId="0" borderId="108" xfId="0" applyFont="1" applyBorder="1" applyAlignment="1">
      <alignment vertical="center"/>
    </xf>
    <xf numFmtId="171" fontId="21" fillId="0" borderId="152" xfId="15" applyNumberFormat="1" applyFont="1" applyBorder="1" applyAlignment="1">
      <alignment horizontal="left" vertical="center" wrapText="1"/>
    </xf>
    <xf numFmtId="171" fontId="21" fillId="0" borderId="58" xfId="15" applyNumberFormat="1" applyFont="1" applyBorder="1" applyAlignment="1">
      <alignment horizontal="left" vertical="center" wrapText="1"/>
    </xf>
    <xf numFmtId="171" fontId="21" fillId="0" borderId="58" xfId="15" applyNumberFormat="1" applyFont="1" applyBorder="1" applyAlignment="1">
      <alignment vertical="center"/>
    </xf>
    <xf numFmtId="42" fontId="21" fillId="0" borderId="58" xfId="0" applyNumberFormat="1" applyFont="1" applyBorder="1" applyAlignment="1">
      <alignment vertical="center"/>
    </xf>
    <xf numFmtId="171" fontId="3" fillId="6" borderId="32" xfId="15" applyNumberFormat="1" applyFont="1" applyFill="1" applyBorder="1" applyAlignment="1">
      <alignment/>
    </xf>
    <xf numFmtId="43" fontId="3" fillId="6" borderId="32" xfId="15" applyFont="1" applyFill="1" applyBorder="1" applyAlignment="1">
      <alignment/>
    </xf>
    <xf numFmtId="171" fontId="0" fillId="0" borderId="153" xfId="15" applyNumberFormat="1" applyBorder="1" applyAlignment="1">
      <alignment/>
    </xf>
    <xf numFmtId="0" fontId="3" fillId="6" borderId="32" xfId="0" applyFont="1" applyFill="1" applyBorder="1" applyAlignment="1">
      <alignment/>
    </xf>
    <xf numFmtId="43" fontId="21" fillId="0" borderId="152" xfId="15" applyFont="1" applyBorder="1" applyAlignment="1">
      <alignment horizontal="left" vertical="center" wrapText="1"/>
    </xf>
    <xf numFmtId="0" fontId="0" fillId="0" borderId="153" xfId="0" applyBorder="1" applyAlignment="1">
      <alignment/>
    </xf>
    <xf numFmtId="9" fontId="21" fillId="0" borderId="15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169" fontId="21" fillId="0" borderId="152" xfId="0" applyNumberFormat="1" applyFont="1" applyBorder="1" applyAlignment="1">
      <alignment vertical="center"/>
    </xf>
    <xf numFmtId="169" fontId="24" fillId="0" borderId="152" xfId="0" applyNumberFormat="1" applyFont="1" applyBorder="1" applyAlignment="1">
      <alignment vertical="center"/>
    </xf>
    <xf numFmtId="171" fontId="21" fillId="10" borderId="0" xfId="15" applyNumberFormat="1" applyFont="1" applyFill="1" applyBorder="1" applyAlignment="1">
      <alignment horizontal="left" vertical="center" wrapText="1"/>
    </xf>
    <xf numFmtId="10" fontId="24" fillId="0" borderId="57" xfId="15" applyNumberFormat="1" applyFont="1" applyBorder="1" applyAlignment="1">
      <alignment horizontal="right" vertical="center" wrapText="1"/>
    </xf>
    <xf numFmtId="10" fontId="24" fillId="0" borderId="57" xfId="21" applyNumberFormat="1" applyFont="1" applyBorder="1" applyAlignment="1">
      <alignment horizontal="right" vertical="center"/>
    </xf>
    <xf numFmtId="10" fontId="21" fillId="0" borderId="57" xfId="0" applyNumberFormat="1" applyFont="1" applyBorder="1" applyAlignment="1">
      <alignment horizontal="right" vertical="center"/>
    </xf>
    <xf numFmtId="9" fontId="8" fillId="0" borderId="97" xfId="21" applyNumberFormat="1" applyFont="1" applyFill="1" applyBorder="1" applyAlignment="1">
      <alignment vertical="center"/>
    </xf>
    <xf numFmtId="43" fontId="21" fillId="0" borderId="29" xfId="15" applyFont="1" applyBorder="1" applyAlignment="1">
      <alignment horizontal="left" vertical="center" wrapText="1"/>
    </xf>
    <xf numFmtId="5" fontId="9" fillId="0" borderId="100" xfId="15" applyNumberFormat="1" applyFont="1" applyFill="1" applyBorder="1" applyAlignment="1">
      <alignment horizontal="right" vertical="center"/>
    </xf>
    <xf numFmtId="0" fontId="41" fillId="0" borderId="96" xfId="0" applyFont="1" applyBorder="1" applyAlignment="1">
      <alignment/>
    </xf>
    <xf numFmtId="171" fontId="21" fillId="10" borderId="64" xfId="15" applyNumberFormat="1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9" fontId="21" fillId="0" borderId="104" xfId="21" applyFont="1" applyBorder="1" applyAlignment="1">
      <alignment horizontal="left" vertical="center" wrapText="1"/>
    </xf>
    <xf numFmtId="9" fontId="24" fillId="0" borderId="104" xfId="0" applyNumberFormat="1" applyFont="1" applyBorder="1" applyAlignment="1">
      <alignment vertical="center"/>
    </xf>
    <xf numFmtId="3" fontId="20" fillId="0" borderId="104" xfId="0" applyNumberFormat="1" applyFont="1" applyFill="1" applyBorder="1" applyAlignment="1">
      <alignment horizontal="right" vertical="center"/>
    </xf>
    <xf numFmtId="169" fontId="21" fillId="0" borderId="29" xfId="0" applyNumberFormat="1" applyFont="1" applyBorder="1" applyAlignment="1">
      <alignment vertical="center"/>
    </xf>
    <xf numFmtId="169" fontId="21" fillId="0" borderId="30" xfId="0" applyNumberFormat="1" applyFont="1" applyBorder="1" applyAlignment="1">
      <alignment horizontal="left" vertical="center"/>
    </xf>
    <xf numFmtId="171" fontId="21" fillId="0" borderId="29" xfId="15" applyNumberFormat="1" applyFont="1" applyBorder="1" applyAlignment="1">
      <alignment horizontal="left" vertical="center" wrapText="1"/>
    </xf>
    <xf numFmtId="9" fontId="24" fillId="0" borderId="29" xfId="0" applyNumberFormat="1" applyFont="1" applyBorder="1" applyAlignment="1">
      <alignment vertical="center"/>
    </xf>
    <xf numFmtId="0" fontId="21" fillId="0" borderId="87" xfId="0" applyNumberFormat="1" applyFont="1" applyBorder="1" applyAlignment="1">
      <alignment horizontal="left" vertical="center" wrapText="1"/>
    </xf>
    <xf numFmtId="171" fontId="21" fillId="0" borderId="87" xfId="15" applyNumberFormat="1" applyFont="1" applyBorder="1" applyAlignment="1">
      <alignment vertical="center"/>
    </xf>
    <xf numFmtId="42" fontId="21" fillId="0" borderId="87" xfId="0" applyNumberFormat="1" applyFont="1" applyBorder="1" applyAlignment="1">
      <alignment vertical="center"/>
    </xf>
    <xf numFmtId="169" fontId="24" fillId="0" borderId="87" xfId="0" applyNumberFormat="1" applyFont="1" applyBorder="1" applyAlignment="1">
      <alignment vertical="center"/>
    </xf>
    <xf numFmtId="169" fontId="21" fillId="0" borderId="87" xfId="0" applyNumberFormat="1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169" fontId="21" fillId="0" borderId="14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3" fillId="6" borderId="19" xfId="0" applyFont="1" applyFill="1" applyBorder="1" applyAlignment="1">
      <alignment horizontal="left"/>
    </xf>
    <xf numFmtId="3" fontId="8" fillId="0" borderId="62" xfId="15" applyNumberFormat="1" applyFont="1" applyBorder="1" applyAlignment="1">
      <alignment vertical="center" wrapText="1"/>
    </xf>
    <xf numFmtId="171" fontId="8" fillId="0" borderId="62" xfId="15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171" fontId="21" fillId="0" borderId="34" xfId="15" applyNumberFormat="1" applyFont="1" applyBorder="1" applyAlignment="1">
      <alignment horizontal="left" vertical="center" wrapText="1"/>
    </xf>
    <xf numFmtId="43" fontId="21" fillId="0" borderId="34" xfId="15" applyFont="1" applyBorder="1" applyAlignment="1">
      <alignment horizontal="left" vertical="center" wrapText="1"/>
    </xf>
    <xf numFmtId="9" fontId="21" fillId="0" borderId="34" xfId="21" applyFont="1" applyBorder="1" applyAlignment="1">
      <alignment horizontal="left" vertical="center" wrapText="1"/>
    </xf>
    <xf numFmtId="171" fontId="21" fillId="0" borderId="34" xfId="15" applyNumberFormat="1" applyFont="1" applyBorder="1" applyAlignment="1">
      <alignment vertical="center"/>
    </xf>
    <xf numFmtId="9" fontId="24" fillId="0" borderId="34" xfId="0" applyNumberFormat="1" applyFont="1" applyBorder="1" applyAlignment="1">
      <alignment vertical="center"/>
    </xf>
    <xf numFmtId="9" fontId="21" fillId="0" borderId="34" xfId="21" applyFont="1" applyBorder="1" applyAlignment="1">
      <alignment horizontal="center" vertical="center" wrapText="1"/>
    </xf>
    <xf numFmtId="171" fontId="21" fillId="0" borderId="52" xfId="15" applyNumberFormat="1" applyFont="1" applyBorder="1" applyAlignment="1">
      <alignment horizontal="left" vertical="center" wrapText="1"/>
    </xf>
    <xf numFmtId="0" fontId="21" fillId="0" borderId="52" xfId="0" applyNumberFormat="1" applyFont="1" applyBorder="1" applyAlignment="1">
      <alignment horizontal="left" vertical="center" wrapText="1"/>
    </xf>
    <xf numFmtId="171" fontId="21" fillId="0" borderId="24" xfId="15" applyNumberFormat="1" applyFont="1" applyBorder="1" applyAlignment="1">
      <alignment vertical="center"/>
    </xf>
    <xf numFmtId="42" fontId="21" fillId="0" borderId="52" xfId="0" applyNumberFormat="1" applyFont="1" applyBorder="1" applyAlignment="1">
      <alignment vertical="center"/>
    </xf>
    <xf numFmtId="42" fontId="21" fillId="0" borderId="34" xfId="0" applyNumberFormat="1" applyFont="1" applyBorder="1" applyAlignment="1">
      <alignment vertical="center"/>
    </xf>
    <xf numFmtId="169" fontId="24" fillId="0" borderId="24" xfId="0" applyNumberFormat="1" applyFont="1" applyBorder="1" applyAlignment="1">
      <alignment vertical="center"/>
    </xf>
    <xf numFmtId="169" fontId="21" fillId="0" borderId="52" xfId="0" applyNumberFormat="1" applyFont="1" applyBorder="1" applyAlignment="1">
      <alignment vertical="center"/>
    </xf>
    <xf numFmtId="169" fontId="21" fillId="0" borderId="24" xfId="0" applyNumberFormat="1" applyFont="1" applyBorder="1" applyAlignment="1">
      <alignment vertical="center"/>
    </xf>
    <xf numFmtId="169" fontId="24" fillId="0" borderId="154" xfId="0" applyNumberFormat="1" applyFont="1" applyBorder="1" applyAlignment="1">
      <alignment vertical="center"/>
    </xf>
    <xf numFmtId="169" fontId="21" fillId="0" borderId="155" xfId="0" applyNumberFormat="1" applyFont="1" applyBorder="1" applyAlignment="1">
      <alignment vertical="center"/>
    </xf>
    <xf numFmtId="169" fontId="21" fillId="0" borderId="35" xfId="0" applyNumberFormat="1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 wrapText="1"/>
    </xf>
    <xf numFmtId="43" fontId="21" fillId="0" borderId="58" xfId="15" applyFont="1" applyBorder="1" applyAlignment="1">
      <alignment horizontal="left" vertical="center" wrapText="1"/>
    </xf>
    <xf numFmtId="9" fontId="21" fillId="0" borderId="58" xfId="21" applyFont="1" applyBorder="1" applyAlignment="1">
      <alignment horizontal="left" vertical="center" wrapText="1"/>
    </xf>
    <xf numFmtId="9" fontId="24" fillId="0" borderId="58" xfId="0" applyNumberFormat="1" applyFont="1" applyBorder="1" applyAlignment="1">
      <alignment vertical="center"/>
    </xf>
    <xf numFmtId="9" fontId="21" fillId="0" borderId="57" xfId="21" applyFont="1" applyBorder="1" applyAlignment="1">
      <alignment horizontal="center" vertical="center" wrapText="1"/>
    </xf>
    <xf numFmtId="10" fontId="8" fillId="0" borderId="115" xfId="0" applyNumberFormat="1" applyFont="1" applyFill="1" applyBorder="1" applyAlignment="1">
      <alignment vertical="center"/>
    </xf>
    <xf numFmtId="0" fontId="8" fillId="0" borderId="98" xfId="0" applyFont="1" applyFill="1" applyBorder="1" applyAlignment="1">
      <alignment wrapText="1"/>
    </xf>
    <xf numFmtId="171" fontId="8" fillId="0" borderId="96" xfId="15" applyNumberFormat="1" applyFont="1" applyFill="1" applyBorder="1" applyAlignment="1">
      <alignment wrapText="1"/>
    </xf>
    <xf numFmtId="171" fontId="16" fillId="0" borderId="143" xfId="15" applyNumberFormat="1" applyFont="1" applyFill="1" applyBorder="1" applyAlignment="1">
      <alignment vertical="center" wrapText="1"/>
    </xf>
    <xf numFmtId="171" fontId="8" fillId="0" borderId="137" xfId="15" applyNumberFormat="1" applyFont="1" applyFill="1" applyBorder="1" applyAlignment="1">
      <alignment vertical="center" wrapText="1"/>
    </xf>
    <xf numFmtId="171" fontId="16" fillId="0" borderId="137" xfId="15" applyNumberFormat="1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8" fillId="0" borderId="120" xfId="0" applyFont="1" applyFill="1" applyBorder="1" applyAlignment="1">
      <alignment wrapText="1"/>
    </xf>
    <xf numFmtId="171" fontId="8" fillId="0" borderId="156" xfId="15" applyNumberFormat="1" applyFont="1" applyFill="1" applyBorder="1" applyAlignment="1">
      <alignment wrapText="1"/>
    </xf>
    <xf numFmtId="171" fontId="8" fillId="0" borderId="94" xfId="15" applyNumberFormat="1" applyFont="1" applyFill="1" applyBorder="1" applyAlignment="1">
      <alignment vertical="center"/>
    </xf>
    <xf numFmtId="10" fontId="8" fillId="0" borderId="94" xfId="21" applyNumberFormat="1" applyFont="1" applyFill="1" applyBorder="1" applyAlignment="1">
      <alignment vertical="center"/>
    </xf>
    <xf numFmtId="5" fontId="9" fillId="8" borderId="94" xfId="15" applyNumberFormat="1" applyFont="1" applyFill="1" applyBorder="1" applyAlignment="1">
      <alignment horizontal="right" vertical="center"/>
    </xf>
    <xf numFmtId="169" fontId="8" fillId="0" borderId="94" xfId="0" applyNumberFormat="1" applyFont="1" applyFill="1" applyBorder="1" applyAlignment="1">
      <alignment vertical="center"/>
    </xf>
    <xf numFmtId="171" fontId="8" fillId="0" borderId="116" xfId="15" applyNumberFormat="1" applyFont="1" applyFill="1" applyBorder="1" applyAlignment="1">
      <alignment wrapText="1"/>
    </xf>
    <xf numFmtId="169" fontId="8" fillId="0" borderId="13" xfId="0" applyNumberFormat="1" applyFont="1" applyFill="1" applyBorder="1" applyAlignment="1">
      <alignment vertical="center"/>
    </xf>
    <xf numFmtId="171" fontId="8" fillId="0" borderId="96" xfId="15" applyNumberFormat="1" applyFont="1" applyFill="1" applyBorder="1" applyAlignment="1">
      <alignment/>
    </xf>
    <xf numFmtId="0" fontId="8" fillId="7" borderId="98" xfId="0" applyFont="1" applyFill="1" applyBorder="1" applyAlignment="1">
      <alignment wrapText="1"/>
    </xf>
    <xf numFmtId="171" fontId="8" fillId="7" borderId="96" xfId="15" applyNumberFormat="1" applyFont="1" applyFill="1" applyBorder="1" applyAlignment="1">
      <alignment wrapText="1"/>
    </xf>
    <xf numFmtId="179" fontId="9" fillId="0" borderId="96" xfId="0" applyNumberFormat="1" applyFont="1" applyFill="1" applyBorder="1" applyAlignment="1">
      <alignment wrapText="1"/>
    </xf>
    <xf numFmtId="0" fontId="27" fillId="7" borderId="96" xfId="0" applyFont="1" applyFill="1" applyBorder="1" applyAlignment="1">
      <alignment wrapText="1"/>
    </xf>
    <xf numFmtId="0" fontId="27" fillId="7" borderId="97" xfId="0" applyFont="1" applyFill="1" applyBorder="1" applyAlignment="1">
      <alignment wrapText="1"/>
    </xf>
    <xf numFmtId="42" fontId="9" fillId="7" borderId="96" xfId="0" applyNumberFormat="1" applyFont="1" applyFill="1" applyBorder="1" applyAlignment="1">
      <alignment horizontal="left" wrapText="1"/>
    </xf>
    <xf numFmtId="0" fontId="41" fillId="0" borderId="96" xfId="0" applyFont="1" applyFill="1" applyBorder="1" applyAlignment="1">
      <alignment/>
    </xf>
    <xf numFmtId="3" fontId="8" fillId="0" borderId="15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3" xfId="0" applyNumberFormat="1" applyFont="1" applyFill="1" applyBorder="1" applyAlignment="1">
      <alignment horizontal="right"/>
    </xf>
    <xf numFmtId="3" fontId="8" fillId="8" borderId="11" xfId="0" applyNumberFormat="1" applyFont="1" applyFill="1" applyBorder="1" applyAlignment="1" quotePrefix="1">
      <alignment horizontal="right"/>
    </xf>
    <xf numFmtId="3" fontId="8" fillId="8" borderId="4" xfId="0" applyNumberFormat="1" applyFont="1" applyFill="1" applyBorder="1" applyAlignment="1" quotePrefix="1">
      <alignment horizontal="right"/>
    </xf>
    <xf numFmtId="3" fontId="8" fillId="8" borderId="13" xfId="0" applyNumberFormat="1" applyFont="1" applyFill="1" applyBorder="1" applyAlignment="1" quotePrefix="1">
      <alignment horizontal="right"/>
    </xf>
    <xf numFmtId="5" fontId="8" fillId="8" borderId="13" xfId="15" applyNumberFormat="1" applyFont="1" applyFill="1" applyBorder="1" applyAlignment="1">
      <alignment horizontal="right" vertical="center"/>
    </xf>
    <xf numFmtId="0" fontId="8" fillId="8" borderId="49" xfId="0" applyFont="1" applyFill="1" applyBorder="1" applyAlignment="1">
      <alignment vertical="center" wrapText="1"/>
    </xf>
    <xf numFmtId="3" fontId="8" fillId="8" borderId="83" xfId="0" applyNumberFormat="1" applyFont="1" applyFill="1" applyBorder="1" applyAlignment="1">
      <alignment horizontal="right" vertical="center"/>
    </xf>
    <xf numFmtId="3" fontId="8" fillId="8" borderId="20" xfId="0" applyNumberFormat="1" applyFont="1" applyFill="1" applyBorder="1" applyAlignment="1" quotePrefix="1">
      <alignment horizontal="right" vertical="center"/>
    </xf>
    <xf numFmtId="5" fontId="8" fillId="8" borderId="50" xfId="15" applyNumberFormat="1" applyFont="1" applyFill="1" applyBorder="1" applyAlignment="1">
      <alignment horizontal="right" vertical="center"/>
    </xf>
    <xf numFmtId="0" fontId="8" fillId="8" borderId="11" xfId="0" applyNumberFormat="1" applyFont="1" applyFill="1" applyBorder="1" applyAlignment="1" quotePrefix="1">
      <alignment horizontal="right" vertical="center" wrapText="1"/>
    </xf>
    <xf numFmtId="0" fontId="8" fillId="8" borderId="5" xfId="0" applyNumberFormat="1" applyFont="1" applyFill="1" applyBorder="1" applyAlignment="1" quotePrefix="1">
      <alignment horizontal="right" vertical="center" wrapText="1"/>
    </xf>
    <xf numFmtId="0" fontId="8" fillId="8" borderId="13" xfId="0" applyNumberFormat="1" applyFont="1" applyFill="1" applyBorder="1" applyAlignment="1" quotePrefix="1">
      <alignment horizontal="right" vertical="center" wrapText="1"/>
    </xf>
    <xf numFmtId="0" fontId="16" fillId="8" borderId="27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vertical="center" wrapText="1"/>
    </xf>
    <xf numFmtId="3" fontId="9" fillId="8" borderId="5" xfId="0" applyNumberFormat="1" applyFont="1" applyFill="1" applyBorder="1" applyAlignment="1" quotePrefix="1">
      <alignment horizontal="right" vertical="center"/>
    </xf>
    <xf numFmtId="3" fontId="9" fillId="8" borderId="11" xfId="0" applyNumberFormat="1" applyFont="1" applyFill="1" applyBorder="1" applyAlignment="1" quotePrefix="1">
      <alignment horizontal="right" vertical="center"/>
    </xf>
    <xf numFmtId="3" fontId="8" fillId="8" borderId="11" xfId="0" applyNumberFormat="1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vertical="center"/>
    </xf>
    <xf numFmtId="3" fontId="8" fillId="8" borderId="13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1" fontId="21" fillId="0" borderId="134" xfId="15" applyNumberFormat="1" applyFont="1" applyBorder="1" applyAlignment="1">
      <alignment horizontal="left" vertical="center" wrapText="1"/>
    </xf>
    <xf numFmtId="171" fontId="21" fillId="0" borderId="87" xfId="15" applyNumberFormat="1" applyFont="1" applyBorder="1" applyAlignment="1">
      <alignment horizontal="left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5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wrapText="1"/>
    </xf>
    <xf numFmtId="0" fontId="28" fillId="0" borderId="58" xfId="0" applyFont="1" applyFill="1" applyBorder="1" applyAlignment="1">
      <alignment wrapText="1"/>
    </xf>
    <xf numFmtId="0" fontId="35" fillId="4" borderId="17" xfId="0" applyFont="1" applyFill="1" applyBorder="1" applyAlignment="1">
      <alignment wrapText="1"/>
    </xf>
    <xf numFmtId="0" fontId="35" fillId="4" borderId="18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27" fillId="7" borderId="7" xfId="0" applyFont="1" applyFill="1" applyBorder="1" applyAlignment="1">
      <alignment wrapText="1"/>
    </xf>
    <xf numFmtId="0" fontId="27" fillId="7" borderId="137" xfId="0" applyFont="1" applyFill="1" applyBorder="1" applyAlignment="1">
      <alignment wrapText="1"/>
    </xf>
    <xf numFmtId="0" fontId="42" fillId="4" borderId="126" xfId="0" applyFont="1" applyFill="1" applyBorder="1" applyAlignment="1">
      <alignment vertical="center" wrapText="1"/>
    </xf>
    <xf numFmtId="0" fontId="42" fillId="4" borderId="77" xfId="0" applyFont="1" applyFill="1" applyBorder="1" applyAlignment="1">
      <alignment vertical="center" wrapText="1"/>
    </xf>
    <xf numFmtId="0" fontId="42" fillId="4" borderId="127" xfId="0" applyFont="1" applyFill="1" applyBorder="1" applyAlignment="1">
      <alignment vertical="center" wrapText="1"/>
    </xf>
    <xf numFmtId="0" fontId="42" fillId="4" borderId="28" xfId="0" applyFont="1" applyFill="1" applyBorder="1" applyAlignment="1">
      <alignment vertical="center" wrapText="1"/>
    </xf>
    <xf numFmtId="0" fontId="42" fillId="4" borderId="29" xfId="0" applyFont="1" applyFill="1" applyBorder="1" applyAlignment="1">
      <alignment vertical="center" wrapText="1"/>
    </xf>
    <xf numFmtId="0" fontId="42" fillId="4" borderId="3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0175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0</xdr:row>
      <xdr:rowOff>47625</xdr:rowOff>
    </xdr:from>
    <xdr:to>
      <xdr:col>9</xdr:col>
      <xdr:colOff>942975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rcRect t="21829" b="27465"/>
        <a:stretch>
          <a:fillRect/>
        </a:stretch>
      </xdr:blipFill>
      <xdr:spPr>
        <a:xfrm>
          <a:off x="13506450" y="47625"/>
          <a:ext cx="4076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895350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0</xdr:row>
      <xdr:rowOff>28575</xdr:rowOff>
    </xdr:from>
    <xdr:to>
      <xdr:col>9</xdr:col>
      <xdr:colOff>0</xdr:colOff>
      <xdr:row>3</xdr:row>
      <xdr:rowOff>142875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rcRect t="21829" b="27465"/>
        <a:stretch>
          <a:fillRect/>
        </a:stretch>
      </xdr:blipFill>
      <xdr:spPr>
        <a:xfrm>
          <a:off x="12782550" y="28575"/>
          <a:ext cx="3505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69275" y="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0</xdr:row>
      <xdr:rowOff>57150</xdr:rowOff>
    </xdr:from>
    <xdr:to>
      <xdr:col>20</xdr:col>
      <xdr:colOff>2047875</xdr:colOff>
      <xdr:row>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21829" b="27465"/>
        <a:stretch>
          <a:fillRect/>
        </a:stretch>
      </xdr:blipFill>
      <xdr:spPr>
        <a:xfrm>
          <a:off x="18126075" y="0"/>
          <a:ext cx="479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638175</xdr:colOff>
      <xdr:row>1</xdr:row>
      <xdr:rowOff>9525</xdr:rowOff>
    </xdr:from>
    <xdr:to>
      <xdr:col>21</xdr:col>
      <xdr:colOff>2266950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1829" b="27465"/>
        <a:stretch>
          <a:fillRect/>
        </a:stretch>
      </xdr:blipFill>
      <xdr:spPr>
        <a:xfrm>
          <a:off x="17459325" y="171450"/>
          <a:ext cx="3619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9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6.00390625" style="73" customWidth="1"/>
    <col min="2" max="2" width="67.8515625" style="74" customWidth="1"/>
    <col min="3" max="3" width="14.28125" style="466" customWidth="1"/>
    <col min="4" max="4" width="14.28125" style="75" customWidth="1"/>
    <col min="5" max="5" width="78.00390625" style="74" customWidth="1"/>
    <col min="6" max="6" width="17.28125" style="76" customWidth="1"/>
    <col min="7" max="9" width="17.28125" style="77" customWidth="1"/>
    <col min="10" max="10" width="17.28125" style="78" customWidth="1"/>
    <col min="11" max="11" width="9.140625" style="60" customWidth="1"/>
    <col min="12" max="12" width="23.8515625" style="60" bestFit="1" customWidth="1"/>
    <col min="13" max="16384" width="9.140625" style="60" customWidth="1"/>
  </cols>
  <sheetData>
    <row r="1" spans="1:64" s="9" customFormat="1" ht="63.75" customHeight="1" thickBot="1">
      <c r="A1" s="253"/>
      <c r="B1" s="254" t="s">
        <v>155</v>
      </c>
      <c r="C1" s="443"/>
      <c r="D1" s="175"/>
      <c r="E1" s="175"/>
      <c r="F1" s="176"/>
      <c r="G1" s="177"/>
      <c r="H1" s="177"/>
      <c r="I1" s="255"/>
      <c r="J1" s="25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57" customFormat="1" ht="29.25" customHeight="1">
      <c r="A2" s="289"/>
      <c r="B2" s="290" t="s">
        <v>15</v>
      </c>
      <c r="C2" s="444" t="s">
        <v>227</v>
      </c>
      <c r="D2" s="442" t="s">
        <v>160</v>
      </c>
      <c r="E2" s="291" t="s">
        <v>231</v>
      </c>
      <c r="F2" s="292" t="s">
        <v>248</v>
      </c>
      <c r="G2" s="293" t="s">
        <v>156</v>
      </c>
      <c r="H2" s="293" t="s">
        <v>157</v>
      </c>
      <c r="I2" s="293" t="s">
        <v>158</v>
      </c>
      <c r="J2" s="294" t="s">
        <v>159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s="57" customFormat="1" ht="30" customHeight="1" thickBot="1">
      <c r="A3" s="295"/>
      <c r="B3" s="296"/>
      <c r="C3" s="445"/>
      <c r="D3" s="298"/>
      <c r="E3" s="297"/>
      <c r="F3" s="299" t="s">
        <v>161</v>
      </c>
      <c r="G3" s="300" t="s">
        <v>161</v>
      </c>
      <c r="H3" s="300" t="s">
        <v>161</v>
      </c>
      <c r="I3" s="300" t="s">
        <v>161</v>
      </c>
      <c r="J3" s="301" t="s">
        <v>161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8" customHeight="1">
      <c r="A4" s="241"/>
      <c r="B4" s="405" t="s">
        <v>162</v>
      </c>
      <c r="C4" s="448"/>
      <c r="D4" s="406"/>
      <c r="E4" s="242"/>
      <c r="F4" s="243"/>
      <c r="G4" s="244"/>
      <c r="H4" s="245"/>
      <c r="I4" s="245"/>
      <c r="J4" s="24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62" customFormat="1" ht="12" customHeight="1">
      <c r="A5" s="247"/>
      <c r="B5" s="407"/>
      <c r="C5" s="449"/>
      <c r="D5" s="408"/>
      <c r="E5" s="58"/>
      <c r="F5" s="59"/>
      <c r="G5" s="248"/>
      <c r="H5" s="61"/>
      <c r="I5" s="61"/>
      <c r="J5" s="24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s="62" customFormat="1" ht="12" customHeight="1">
      <c r="A6" s="250" t="s">
        <v>164</v>
      </c>
      <c r="B6" s="407" t="s">
        <v>163</v>
      </c>
      <c r="C6" s="449"/>
      <c r="D6" s="408"/>
      <c r="E6" s="58"/>
      <c r="F6" s="59"/>
      <c r="G6" s="248"/>
      <c r="H6" s="61"/>
      <c r="I6" s="61"/>
      <c r="J6" s="249"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s="62" customFormat="1" ht="12" customHeight="1">
      <c r="A7" s="250" t="s">
        <v>165</v>
      </c>
      <c r="B7" s="1102" t="s">
        <v>373</v>
      </c>
      <c r="C7" s="1103"/>
      <c r="D7" s="1103"/>
      <c r="E7" s="1104"/>
      <c r="F7" s="59"/>
      <c r="G7" s="248"/>
      <c r="H7" s="61"/>
      <c r="I7" s="61"/>
      <c r="J7" s="249"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s="62" customFormat="1" ht="12" customHeight="1">
      <c r="A8" s="250" t="s">
        <v>166</v>
      </c>
      <c r="B8" s="407" t="s">
        <v>256</v>
      </c>
      <c r="C8" s="449"/>
      <c r="D8" s="408"/>
      <c r="E8" s="58" t="s">
        <v>341</v>
      </c>
      <c r="F8" s="59"/>
      <c r="G8" s="248"/>
      <c r="H8" s="61"/>
      <c r="I8" s="61"/>
      <c r="J8" s="249">
        <v>4000000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80" s="62" customFormat="1" ht="12" customHeight="1" thickBot="1">
      <c r="A9" s="252"/>
      <c r="B9" s="409"/>
      <c r="C9" s="450"/>
      <c r="D9" s="410"/>
      <c r="E9" s="411"/>
      <c r="F9" s="59"/>
      <c r="G9" s="248"/>
      <c r="H9" s="61"/>
      <c r="I9" s="61"/>
      <c r="J9" s="24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s="285" customFormat="1" ht="15" customHeight="1" thickBot="1">
      <c r="A10" s="425" t="s">
        <v>251</v>
      </c>
      <c r="B10" s="426" t="s">
        <v>0</v>
      </c>
      <c r="C10" s="451"/>
      <c r="D10" s="426"/>
      <c r="E10" s="426"/>
      <c r="F10" s="426"/>
      <c r="G10" s="426"/>
      <c r="H10" s="426"/>
      <c r="I10" s="426"/>
      <c r="J10" s="42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s="262" customFormat="1" ht="15" customHeight="1">
      <c r="A11" s="250"/>
      <c r="B11" s="412" t="s">
        <v>80</v>
      </c>
      <c r="C11" s="452"/>
      <c r="D11" s="413"/>
      <c r="E11" s="413"/>
      <c r="F11" s="413"/>
      <c r="G11" s="413"/>
      <c r="H11" s="413"/>
      <c r="I11" s="413"/>
      <c r="J11" s="41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s="64" customFormat="1" ht="15.75">
      <c r="A12" s="263" t="s">
        <v>164</v>
      </c>
      <c r="B12" s="1047" t="s">
        <v>81</v>
      </c>
      <c r="C12" s="1048">
        <f>3*3600</f>
        <v>10800</v>
      </c>
      <c r="D12" s="416">
        <v>2100</v>
      </c>
      <c r="E12" s="415" t="s">
        <v>167</v>
      </c>
      <c r="F12" s="417">
        <f>C12*D12</f>
        <v>22680000</v>
      </c>
      <c r="G12" s="418">
        <f>F12</f>
        <v>22680000</v>
      </c>
      <c r="H12" s="418">
        <f>G12*0%</f>
        <v>0</v>
      </c>
      <c r="I12" s="418">
        <f>(H12+G12)*10%</f>
        <v>2268000</v>
      </c>
      <c r="J12" s="419">
        <f>H12+G12+I12</f>
        <v>24948000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s="64" customFormat="1" ht="15.75">
      <c r="A13" s="263" t="s">
        <v>165</v>
      </c>
      <c r="B13" s="1047" t="s">
        <v>82</v>
      </c>
      <c r="C13" s="1048">
        <f>600*12</f>
        <v>7200</v>
      </c>
      <c r="D13" s="416">
        <v>2000</v>
      </c>
      <c r="E13" s="415" t="s">
        <v>167</v>
      </c>
      <c r="F13" s="417">
        <f>C13*D13</f>
        <v>14400000</v>
      </c>
      <c r="G13" s="418">
        <f>F13</f>
        <v>14400000</v>
      </c>
      <c r="H13" s="418">
        <f>G13*0%</f>
        <v>0</v>
      </c>
      <c r="I13" s="418">
        <f>(H13+G13)*10%</f>
        <v>1440000</v>
      </c>
      <c r="J13" s="419">
        <f>H13+G13+I13</f>
        <v>15840000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</row>
    <row r="14" spans="1:80" s="64" customFormat="1" ht="15" customHeight="1">
      <c r="A14" s="263"/>
      <c r="B14" s="420" t="s">
        <v>83</v>
      </c>
      <c r="C14" s="454"/>
      <c r="D14" s="421"/>
      <c r="E14" s="421"/>
      <c r="F14" s="421"/>
      <c r="G14" s="421"/>
      <c r="H14" s="421"/>
      <c r="I14" s="421"/>
      <c r="J14" s="42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64" s="64" customFormat="1" ht="15.75">
      <c r="A15" s="263" t="s">
        <v>166</v>
      </c>
      <c r="B15" s="1047" t="s">
        <v>84</v>
      </c>
      <c r="C15" s="1048">
        <f>13*10000</f>
        <v>130000</v>
      </c>
      <c r="D15" s="416">
        <v>45</v>
      </c>
      <c r="E15" s="415" t="s">
        <v>445</v>
      </c>
      <c r="F15" s="417">
        <f>C15*D15</f>
        <v>5850000</v>
      </c>
      <c r="G15" s="418">
        <f>F15</f>
        <v>5850000</v>
      </c>
      <c r="H15" s="418">
        <f>G15*0%</f>
        <v>0</v>
      </c>
      <c r="I15" s="418">
        <f>(H15+G15)*10%</f>
        <v>585000</v>
      </c>
      <c r="J15" s="419">
        <f>H15+G15+I15</f>
        <v>6435000</v>
      </c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</row>
    <row r="16" spans="1:64" s="64" customFormat="1" ht="15" customHeight="1">
      <c r="A16" s="263"/>
      <c r="B16" s="420" t="s">
        <v>85</v>
      </c>
      <c r="C16" s="454"/>
      <c r="D16" s="421"/>
      <c r="E16" s="421"/>
      <c r="F16" s="421"/>
      <c r="G16" s="421"/>
      <c r="H16" s="421"/>
      <c r="I16" s="421"/>
      <c r="J16" s="42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s="64" customFormat="1" ht="21">
      <c r="A17" s="263" t="s">
        <v>168</v>
      </c>
      <c r="B17" s="1047" t="s">
        <v>275</v>
      </c>
      <c r="C17" s="1048">
        <v>1</v>
      </c>
      <c r="D17" s="416">
        <v>7598000</v>
      </c>
      <c r="E17" s="415" t="s">
        <v>302</v>
      </c>
      <c r="F17" s="417">
        <f>C17*D17</f>
        <v>7598000</v>
      </c>
      <c r="G17" s="418">
        <f>F17</f>
        <v>7598000</v>
      </c>
      <c r="H17" s="418">
        <f>G17*0%</f>
        <v>0</v>
      </c>
      <c r="I17" s="418">
        <f>(H17+G17)*10%</f>
        <v>759800</v>
      </c>
      <c r="J17" s="419">
        <f>H17+G17+I17</f>
        <v>8357800</v>
      </c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/>
      <c r="AE17" s="661"/>
      <c r="AF17" s="661"/>
      <c r="AG17" s="661"/>
      <c r="AH17" s="661"/>
      <c r="AI17" s="661"/>
      <c r="AJ17" s="661"/>
      <c r="AK17" s="661"/>
      <c r="AL17" s="661"/>
      <c r="AM17" s="661"/>
      <c r="AN17" s="661"/>
      <c r="AO17" s="661"/>
      <c r="AP17" s="661"/>
      <c r="AQ17" s="661"/>
      <c r="AR17" s="661"/>
      <c r="AS17" s="661"/>
      <c r="AT17" s="661"/>
      <c r="AU17" s="661"/>
      <c r="AV17" s="661"/>
      <c r="AW17" s="661"/>
      <c r="AX17" s="661"/>
      <c r="AY17" s="661"/>
      <c r="AZ17" s="661"/>
      <c r="BA17" s="661"/>
      <c r="BB17" s="661"/>
      <c r="BC17" s="661"/>
      <c r="BD17" s="661"/>
      <c r="BE17" s="661"/>
      <c r="BF17" s="661"/>
      <c r="BG17" s="661"/>
      <c r="BH17" s="661"/>
      <c r="BI17" s="661"/>
      <c r="BJ17" s="661"/>
      <c r="BK17" s="661"/>
      <c r="BL17" s="661"/>
    </row>
    <row r="18" spans="1:64" s="64" customFormat="1" ht="15.75">
      <c r="A18" s="263" t="s">
        <v>169</v>
      </c>
      <c r="B18" s="1047" t="s">
        <v>274</v>
      </c>
      <c r="C18" s="1048">
        <v>1</v>
      </c>
      <c r="D18" s="416">
        <v>3000000</v>
      </c>
      <c r="E18" s="415" t="s">
        <v>258</v>
      </c>
      <c r="F18" s="417">
        <f>C18*D18</f>
        <v>3000000</v>
      </c>
      <c r="G18" s="418">
        <f>F18</f>
        <v>3000000</v>
      </c>
      <c r="H18" s="418">
        <f>G18*0%</f>
        <v>0</v>
      </c>
      <c r="I18" s="418">
        <f>(H18+G18)*10%</f>
        <v>300000</v>
      </c>
      <c r="J18" s="419">
        <f>H18+G18+I18</f>
        <v>3300000</v>
      </c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</row>
    <row r="19" spans="1:64" s="64" customFormat="1" ht="15.75">
      <c r="A19" s="263" t="s">
        <v>170</v>
      </c>
      <c r="B19" s="1047" t="s">
        <v>320</v>
      </c>
      <c r="C19" s="1048">
        <v>1</v>
      </c>
      <c r="D19" s="668">
        <v>2000000</v>
      </c>
      <c r="E19" s="415" t="s">
        <v>321</v>
      </c>
      <c r="F19" s="417">
        <f>C19*D19</f>
        <v>2000000</v>
      </c>
      <c r="G19" s="418">
        <f>F19</f>
        <v>2000000</v>
      </c>
      <c r="H19" s="418">
        <f>G19*0%</f>
        <v>0</v>
      </c>
      <c r="I19" s="418">
        <f>(H19+G19)*10%</f>
        <v>200000</v>
      </c>
      <c r="J19" s="419">
        <f>H19+G19+I19</f>
        <v>2200000</v>
      </c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</row>
    <row r="20" spans="1:64" s="64" customFormat="1" ht="15" customHeight="1">
      <c r="A20" s="263"/>
      <c r="B20" s="420" t="s">
        <v>240</v>
      </c>
      <c r="C20" s="454"/>
      <c r="D20" s="421"/>
      <c r="E20" s="421"/>
      <c r="F20" s="421"/>
      <c r="G20" s="421"/>
      <c r="H20" s="421"/>
      <c r="I20" s="421"/>
      <c r="J20" s="42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s="64" customFormat="1" ht="22.5" customHeight="1">
      <c r="A21" s="263" t="s">
        <v>171</v>
      </c>
      <c r="B21" s="1047" t="s">
        <v>86</v>
      </c>
      <c r="C21" s="1048">
        <v>4</v>
      </c>
      <c r="D21" s="416">
        <v>500000</v>
      </c>
      <c r="E21" s="815" t="s">
        <v>315</v>
      </c>
      <c r="F21" s="814">
        <f>C21*D21</f>
        <v>2000000</v>
      </c>
      <c r="G21" s="418">
        <f>F21</f>
        <v>2000000</v>
      </c>
      <c r="H21" s="418">
        <f>G21*0%</f>
        <v>0</v>
      </c>
      <c r="I21" s="418">
        <f>(H21+G21)*10%</f>
        <v>200000</v>
      </c>
      <c r="J21" s="419">
        <f>H21+G21+I21</f>
        <v>2200000</v>
      </c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</row>
    <row r="22" spans="1:64" s="64" customFormat="1" ht="15.75">
      <c r="A22" s="263" t="s">
        <v>173</v>
      </c>
      <c r="B22" s="1047" t="s">
        <v>277</v>
      </c>
      <c r="C22" s="1048">
        <v>6</v>
      </c>
      <c r="D22" s="416">
        <v>200000</v>
      </c>
      <c r="E22" s="415" t="s">
        <v>447</v>
      </c>
      <c r="F22" s="417">
        <f>C22*D22</f>
        <v>1200000</v>
      </c>
      <c r="G22" s="418">
        <f>F22</f>
        <v>1200000</v>
      </c>
      <c r="H22" s="418">
        <f>G22*0%</f>
        <v>0</v>
      </c>
      <c r="I22" s="418">
        <f>(H22+G22)*10%</f>
        <v>120000</v>
      </c>
      <c r="J22" s="419">
        <f>H22+G22+I22</f>
        <v>1320000</v>
      </c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</row>
    <row r="23" spans="1:64" s="64" customFormat="1" ht="15" customHeight="1">
      <c r="A23" s="263"/>
      <c r="B23" s="420" t="s">
        <v>141</v>
      </c>
      <c r="C23" s="455"/>
      <c r="D23" s="424"/>
      <c r="E23" s="423"/>
      <c r="F23" s="417"/>
      <c r="G23" s="418"/>
      <c r="H23" s="418"/>
      <c r="I23" s="418"/>
      <c r="J23" s="419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64" customFormat="1" ht="15" customHeight="1">
      <c r="A24" s="263" t="s">
        <v>174</v>
      </c>
      <c r="B24" s="1047" t="s">
        <v>87</v>
      </c>
      <c r="C24" s="1048">
        <f>20*10000</f>
        <v>200000</v>
      </c>
      <c r="D24" s="416">
        <v>5</v>
      </c>
      <c r="E24" s="415" t="s">
        <v>172</v>
      </c>
      <c r="F24" s="417">
        <f>C24*D24</f>
        <v>1000000</v>
      </c>
      <c r="G24" s="418">
        <f>F24</f>
        <v>1000000</v>
      </c>
      <c r="H24" s="418">
        <f>G24*0%</f>
        <v>0</v>
      </c>
      <c r="I24" s="418">
        <f>(H24+G24)*10%</f>
        <v>100000</v>
      </c>
      <c r="J24" s="419">
        <f>H24+G24+I24</f>
        <v>1100000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64" customFormat="1" ht="15" customHeight="1">
      <c r="A25" s="263"/>
      <c r="B25" s="420" t="s">
        <v>88</v>
      </c>
      <c r="C25" s="454"/>
      <c r="D25" s="421"/>
      <c r="E25" s="421"/>
      <c r="F25" s="421"/>
      <c r="G25" s="421"/>
      <c r="H25" s="421"/>
      <c r="I25" s="421"/>
      <c r="J25" s="42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64" customFormat="1" ht="15.75">
      <c r="A26" s="263" t="s">
        <v>176</v>
      </c>
      <c r="B26" s="1047" t="s">
        <v>135</v>
      </c>
      <c r="C26" s="1048">
        <v>50</v>
      </c>
      <c r="D26" s="416">
        <v>150000</v>
      </c>
      <c r="E26" s="415" t="s">
        <v>278</v>
      </c>
      <c r="F26" s="417">
        <f>C26*D26</f>
        <v>7500000</v>
      </c>
      <c r="G26" s="418">
        <f>F26</f>
        <v>7500000</v>
      </c>
      <c r="H26" s="418">
        <f>G26*0%</f>
        <v>0</v>
      </c>
      <c r="I26" s="418">
        <f>(H26+G26)*10%</f>
        <v>750000</v>
      </c>
      <c r="J26" s="419">
        <f>H26+G26+I26</f>
        <v>8250000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64" customFormat="1" ht="15.75">
      <c r="A27" s="263" t="s">
        <v>178</v>
      </c>
      <c r="B27" s="1047" t="s">
        <v>175</v>
      </c>
      <c r="C27" s="1048">
        <v>3000</v>
      </c>
      <c r="D27" s="416">
        <v>1800</v>
      </c>
      <c r="E27" s="415"/>
      <c r="F27" s="417">
        <f>C27*D27</f>
        <v>5400000</v>
      </c>
      <c r="G27" s="418">
        <f>F27</f>
        <v>5400000</v>
      </c>
      <c r="H27" s="418">
        <f>G27*0%</f>
        <v>0</v>
      </c>
      <c r="I27" s="418">
        <f>(H27+G27)*10%</f>
        <v>540000</v>
      </c>
      <c r="J27" s="419">
        <f>H27+G27+I27</f>
        <v>5940000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64" customFormat="1" ht="15" customHeight="1">
      <c r="A28" s="263"/>
      <c r="B28" s="420" t="s">
        <v>89</v>
      </c>
      <c r="C28" s="454"/>
      <c r="D28" s="421"/>
      <c r="E28" s="421"/>
      <c r="F28" s="421"/>
      <c r="G28" s="421"/>
      <c r="H28" s="421"/>
      <c r="I28" s="421"/>
      <c r="J28" s="42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64" customFormat="1" ht="15.75">
      <c r="A29" s="673" t="s">
        <v>179</v>
      </c>
      <c r="B29" s="1047" t="s">
        <v>279</v>
      </c>
      <c r="C29" s="1048">
        <v>1</v>
      </c>
      <c r="D29" s="416">
        <v>2500000</v>
      </c>
      <c r="E29" s="415" t="s">
        <v>177</v>
      </c>
      <c r="F29" s="417">
        <f>C29*D29</f>
        <v>2500000</v>
      </c>
      <c r="G29" s="418">
        <f>F29</f>
        <v>2500000</v>
      </c>
      <c r="H29" s="418">
        <f>G29*0%</f>
        <v>0</v>
      </c>
      <c r="I29" s="418">
        <f>(H29+G29)*10%</f>
        <v>250000</v>
      </c>
      <c r="J29" s="419">
        <f>H29+G29+I29</f>
        <v>2750000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64" customFormat="1" ht="15" customHeight="1">
      <c r="A30" s="263"/>
      <c r="B30" s="420" t="s">
        <v>91</v>
      </c>
      <c r="C30" s="454"/>
      <c r="D30" s="421"/>
      <c r="E30" s="421"/>
      <c r="F30" s="421"/>
      <c r="G30" s="421"/>
      <c r="H30" s="421"/>
      <c r="I30" s="421"/>
      <c r="J30" s="42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64" customFormat="1" ht="15.75">
      <c r="A31" s="263" t="s">
        <v>181</v>
      </c>
      <c r="B31" s="1047" t="s">
        <v>375</v>
      </c>
      <c r="C31" s="1048">
        <v>30000</v>
      </c>
      <c r="D31" s="416">
        <v>100</v>
      </c>
      <c r="E31" s="415" t="s">
        <v>444</v>
      </c>
      <c r="F31" s="417">
        <f>C31*D31</f>
        <v>3000000</v>
      </c>
      <c r="G31" s="418">
        <f aca="true" t="shared" si="0" ref="G31:G37">F31</f>
        <v>3000000</v>
      </c>
      <c r="H31" s="418">
        <f>G31*0%</f>
        <v>0</v>
      </c>
      <c r="I31" s="418">
        <f>(H31+G31)*10%</f>
        <v>300000</v>
      </c>
      <c r="J31" s="419">
        <f>H31+G31+I31</f>
        <v>3300000</v>
      </c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</row>
    <row r="32" spans="1:64" s="64" customFormat="1" ht="15.75">
      <c r="A32" s="263"/>
      <c r="B32" s="420" t="s">
        <v>7</v>
      </c>
      <c r="C32" s="454"/>
      <c r="D32" s="421"/>
      <c r="E32" s="421"/>
      <c r="F32" s="421"/>
      <c r="G32" s="421"/>
      <c r="H32" s="421"/>
      <c r="I32" s="421"/>
      <c r="J32" s="42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s="64" customFormat="1" ht="15.75">
      <c r="A33" s="263" t="s">
        <v>182</v>
      </c>
      <c r="B33" s="1047" t="s">
        <v>23</v>
      </c>
      <c r="C33" s="1048">
        <v>600</v>
      </c>
      <c r="D33" s="416">
        <v>105000</v>
      </c>
      <c r="E33" s="415" t="s">
        <v>180</v>
      </c>
      <c r="F33" s="417">
        <f>C33*D33</f>
        <v>63000000</v>
      </c>
      <c r="G33" s="418">
        <f t="shared" si="0"/>
        <v>63000000</v>
      </c>
      <c r="H33" s="418">
        <f>G33*0%</f>
        <v>0</v>
      </c>
      <c r="I33" s="418">
        <f>(H33+G33)*10%</f>
        <v>6300000</v>
      </c>
      <c r="J33" s="419">
        <f>H33+G33+I33</f>
        <v>69300000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s="64" customFormat="1" ht="15.75">
      <c r="A34" s="263" t="s">
        <v>183</v>
      </c>
      <c r="B34" s="1047" t="s">
        <v>25</v>
      </c>
      <c r="C34" s="1048">
        <v>121</v>
      </c>
      <c r="D34" s="416">
        <v>105000</v>
      </c>
      <c r="E34" s="415" t="s">
        <v>180</v>
      </c>
      <c r="F34" s="417">
        <f>C34*D34</f>
        <v>12705000</v>
      </c>
      <c r="G34" s="418">
        <f t="shared" si="0"/>
        <v>12705000</v>
      </c>
      <c r="H34" s="418">
        <f>G34*0%</f>
        <v>0</v>
      </c>
      <c r="I34" s="418">
        <f>(H34+G34)*10%</f>
        <v>1270500</v>
      </c>
      <c r="J34" s="419">
        <f>H34+G34+I34</f>
        <v>13975500</v>
      </c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</row>
    <row r="35" spans="1:64" s="64" customFormat="1" ht="15.75">
      <c r="A35" s="263" t="s">
        <v>184</v>
      </c>
      <c r="B35" s="1047" t="s">
        <v>26</v>
      </c>
      <c r="C35" s="1048">
        <v>1657</v>
      </c>
      <c r="D35" s="416">
        <v>105000</v>
      </c>
      <c r="E35" s="415" t="s">
        <v>180</v>
      </c>
      <c r="F35" s="417">
        <f>C35*D35</f>
        <v>173985000</v>
      </c>
      <c r="G35" s="418">
        <f t="shared" si="0"/>
        <v>173985000</v>
      </c>
      <c r="H35" s="418">
        <f>G35*0%</f>
        <v>0</v>
      </c>
      <c r="I35" s="418">
        <f>(H35+G35)*10%</f>
        <v>17398500</v>
      </c>
      <c r="J35" s="419">
        <f>H35+G35+I35</f>
        <v>191383500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64" customFormat="1" ht="15.75">
      <c r="A36" s="263" t="s">
        <v>185</v>
      </c>
      <c r="B36" s="1047" t="s">
        <v>27</v>
      </c>
      <c r="C36" s="1048">
        <v>1214</v>
      </c>
      <c r="D36" s="416">
        <v>105000</v>
      </c>
      <c r="E36" s="415" t="s">
        <v>180</v>
      </c>
      <c r="F36" s="417">
        <f>C36*D36</f>
        <v>127470000</v>
      </c>
      <c r="G36" s="418">
        <f t="shared" si="0"/>
        <v>127470000</v>
      </c>
      <c r="H36" s="418">
        <f>G36*0%</f>
        <v>0</v>
      </c>
      <c r="I36" s="418">
        <f>(H36+G36)*10%</f>
        <v>12747000</v>
      </c>
      <c r="J36" s="419">
        <f>H36+G36+I36</f>
        <v>140217000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s="64" customFormat="1" ht="15.75">
      <c r="A37" s="263" t="s">
        <v>186</v>
      </c>
      <c r="B37" s="1047" t="s">
        <v>30</v>
      </c>
      <c r="C37" s="1048">
        <v>150</v>
      </c>
      <c r="D37" s="416">
        <v>105000</v>
      </c>
      <c r="E37" s="415" t="s">
        <v>180</v>
      </c>
      <c r="F37" s="417">
        <f>C37*D37</f>
        <v>15750000</v>
      </c>
      <c r="G37" s="418">
        <f t="shared" si="0"/>
        <v>15750000</v>
      </c>
      <c r="H37" s="418">
        <f>G37*0%</f>
        <v>0</v>
      </c>
      <c r="I37" s="418">
        <f>(H37+G37)*10%</f>
        <v>1575000</v>
      </c>
      <c r="J37" s="419">
        <f>H37+G37+I37</f>
        <v>17325000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s="64" customFormat="1" ht="15.75">
      <c r="A38" s="263"/>
      <c r="B38" s="420" t="s">
        <v>133</v>
      </c>
      <c r="C38" s="454"/>
      <c r="D38" s="421"/>
      <c r="E38" s="421"/>
      <c r="F38" s="421"/>
      <c r="G38" s="421"/>
      <c r="H38" s="421"/>
      <c r="I38" s="421"/>
      <c r="J38" s="42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s="64" customFormat="1" ht="21">
      <c r="A39" s="263" t="s">
        <v>187</v>
      </c>
      <c r="B39" s="1047" t="s">
        <v>421</v>
      </c>
      <c r="C39" s="1048">
        <v>51000</v>
      </c>
      <c r="D39" s="416">
        <v>900</v>
      </c>
      <c r="E39" s="415" t="s">
        <v>340</v>
      </c>
      <c r="F39" s="417">
        <f>C39*D39</f>
        <v>45900000</v>
      </c>
      <c r="G39" s="418">
        <f>F39</f>
        <v>45900000</v>
      </c>
      <c r="H39" s="418">
        <f>G39*0%</f>
        <v>0</v>
      </c>
      <c r="I39" s="418">
        <f>(H39+G39)*10%</f>
        <v>4590000</v>
      </c>
      <c r="J39" s="419">
        <f>H39+G39+I39</f>
        <v>50490000</v>
      </c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</row>
    <row r="40" spans="1:64" s="64" customFormat="1" ht="15.75">
      <c r="A40" s="263" t="s">
        <v>188</v>
      </c>
      <c r="B40" s="1047" t="s">
        <v>32</v>
      </c>
      <c r="C40" s="1048">
        <v>20000</v>
      </c>
      <c r="D40" s="416">
        <v>900</v>
      </c>
      <c r="E40" s="415" t="s">
        <v>192</v>
      </c>
      <c r="F40" s="417">
        <f>C40*D40</f>
        <v>18000000</v>
      </c>
      <c r="G40" s="418">
        <f>F40</f>
        <v>18000000</v>
      </c>
      <c r="H40" s="418">
        <f>G40*0%</f>
        <v>0</v>
      </c>
      <c r="I40" s="418">
        <f>(H40+G40)*10%</f>
        <v>1800000</v>
      </c>
      <c r="J40" s="419">
        <f>H40+G40+I40</f>
        <v>19800000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s="64" customFormat="1" ht="15.75">
      <c r="A41" s="263" t="s">
        <v>189</v>
      </c>
      <c r="B41" s="1047" t="s">
        <v>33</v>
      </c>
      <c r="C41" s="1048">
        <v>31000</v>
      </c>
      <c r="D41" s="416">
        <v>900</v>
      </c>
      <c r="E41" s="415" t="s">
        <v>192</v>
      </c>
      <c r="F41" s="417">
        <f>C41*D41</f>
        <v>27900000</v>
      </c>
      <c r="G41" s="418">
        <f>F41</f>
        <v>27900000</v>
      </c>
      <c r="H41" s="418">
        <f>G41*0%</f>
        <v>0</v>
      </c>
      <c r="I41" s="418">
        <f>(H41+G41)*10%</f>
        <v>2790000</v>
      </c>
      <c r="J41" s="419">
        <f>H41+G41+I41</f>
        <v>30690000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s="64" customFormat="1" ht="15.75">
      <c r="A42" s="263" t="s">
        <v>190</v>
      </c>
      <c r="B42" s="1047" t="s">
        <v>34</v>
      </c>
      <c r="C42" s="1048">
        <v>4000</v>
      </c>
      <c r="D42" s="416">
        <v>900</v>
      </c>
      <c r="E42" s="415" t="s">
        <v>192</v>
      </c>
      <c r="F42" s="417">
        <f>C42*D42</f>
        <v>3600000</v>
      </c>
      <c r="G42" s="418">
        <f>F42</f>
        <v>3600000</v>
      </c>
      <c r="H42" s="418">
        <f>G42*0%</f>
        <v>0</v>
      </c>
      <c r="I42" s="418">
        <f>(H42+G42)*10%</f>
        <v>360000</v>
      </c>
      <c r="J42" s="419">
        <f>H42+G42+I42</f>
        <v>3960000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s="64" customFormat="1" ht="15.75">
      <c r="A43" s="263"/>
      <c r="B43" s="420" t="s">
        <v>12</v>
      </c>
      <c r="C43" s="454"/>
      <c r="D43" s="421"/>
      <c r="E43" s="421"/>
      <c r="F43" s="421"/>
      <c r="G43" s="421"/>
      <c r="H43" s="421"/>
      <c r="I43" s="421"/>
      <c r="J43" s="42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s="64" customFormat="1" ht="21">
      <c r="A44" s="263" t="s">
        <v>191</v>
      </c>
      <c r="B44" s="1047" t="s">
        <v>422</v>
      </c>
      <c r="C44" s="1048">
        <v>7000</v>
      </c>
      <c r="D44" s="416">
        <v>1800</v>
      </c>
      <c r="E44" s="415" t="s">
        <v>340</v>
      </c>
      <c r="F44" s="417">
        <f>C44*D44</f>
        <v>12600000</v>
      </c>
      <c r="G44" s="418">
        <f>F44</f>
        <v>12600000</v>
      </c>
      <c r="H44" s="418">
        <f>G44*0%</f>
        <v>0</v>
      </c>
      <c r="I44" s="418">
        <f>(H44+G44)*10%</f>
        <v>1260000</v>
      </c>
      <c r="J44" s="419">
        <f>H44+G44+I44</f>
        <v>13860000</v>
      </c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</row>
    <row r="45" spans="1:64" s="64" customFormat="1" ht="15.75">
      <c r="A45" s="263" t="s">
        <v>193</v>
      </c>
      <c r="B45" s="1047" t="s">
        <v>423</v>
      </c>
      <c r="C45" s="1048">
        <v>21000</v>
      </c>
      <c r="D45" s="416">
        <v>1800</v>
      </c>
      <c r="E45" s="415" t="s">
        <v>199</v>
      </c>
      <c r="F45" s="417">
        <f>C45*D45</f>
        <v>37800000</v>
      </c>
      <c r="G45" s="418">
        <f>F45</f>
        <v>37800000</v>
      </c>
      <c r="H45" s="418">
        <f>G45*0%</f>
        <v>0</v>
      </c>
      <c r="I45" s="418">
        <f>(H45+G45)*10%</f>
        <v>3780000</v>
      </c>
      <c r="J45" s="419">
        <f>H45+G45+I45</f>
        <v>41580000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s="64" customFormat="1" ht="15.75">
      <c r="A46" s="263" t="s">
        <v>194</v>
      </c>
      <c r="B46" s="1047" t="s">
        <v>34</v>
      </c>
      <c r="C46" s="1048">
        <v>4000</v>
      </c>
      <c r="D46" s="416">
        <v>1800</v>
      </c>
      <c r="E46" s="415" t="s">
        <v>199</v>
      </c>
      <c r="F46" s="417">
        <f>C46*D46</f>
        <v>7200000</v>
      </c>
      <c r="G46" s="418">
        <f>F46</f>
        <v>7200000</v>
      </c>
      <c r="H46" s="418">
        <f>G46*0%</f>
        <v>0</v>
      </c>
      <c r="I46" s="418">
        <f>(H46+G46)*10%</f>
        <v>720000</v>
      </c>
      <c r="J46" s="419">
        <f>H46+G46+I46</f>
        <v>7920000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s="64" customFormat="1" ht="15.75">
      <c r="A47" s="263" t="s">
        <v>195</v>
      </c>
      <c r="B47" s="1047" t="s">
        <v>424</v>
      </c>
      <c r="C47" s="1048">
        <v>1000</v>
      </c>
      <c r="D47" s="416">
        <v>1800</v>
      </c>
      <c r="E47" s="415" t="s">
        <v>199</v>
      </c>
      <c r="F47" s="417">
        <f>C47*D47</f>
        <v>1800000</v>
      </c>
      <c r="G47" s="418">
        <f>F47</f>
        <v>1800000</v>
      </c>
      <c r="H47" s="418">
        <f>G47*0%</f>
        <v>0</v>
      </c>
      <c r="I47" s="418">
        <f>(H47+G47)*10%</f>
        <v>180000</v>
      </c>
      <c r="J47" s="419">
        <f>H47+G47+I47</f>
        <v>1980000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 s="64" customFormat="1" ht="15.75">
      <c r="A48" s="263"/>
      <c r="B48" s="420" t="s">
        <v>5</v>
      </c>
      <c r="C48" s="454"/>
      <c r="D48" s="421"/>
      <c r="E48" s="421"/>
      <c r="F48" s="421"/>
      <c r="G48" s="421"/>
      <c r="H48" s="421"/>
      <c r="I48" s="421"/>
      <c r="J48" s="422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 s="64" customFormat="1" ht="15.75">
      <c r="A49" s="263" t="s">
        <v>196</v>
      </c>
      <c r="B49" s="1047" t="s">
        <v>425</v>
      </c>
      <c r="C49" s="1048">
        <v>8000</v>
      </c>
      <c r="D49" s="416">
        <v>800</v>
      </c>
      <c r="E49" s="415" t="s">
        <v>212</v>
      </c>
      <c r="F49" s="417">
        <f>C49*D49</f>
        <v>6400000</v>
      </c>
      <c r="G49" s="418">
        <f>F49</f>
        <v>6400000</v>
      </c>
      <c r="H49" s="418">
        <f>G49*0%</f>
        <v>0</v>
      </c>
      <c r="I49" s="418">
        <f>(H49+G49)*10%</f>
        <v>640000</v>
      </c>
      <c r="J49" s="419">
        <f>H49+G49+I49</f>
        <v>7040000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s="64" customFormat="1" ht="15.75">
      <c r="A50" s="263"/>
      <c r="B50" s="420" t="s">
        <v>8</v>
      </c>
      <c r="C50" s="454"/>
      <c r="D50" s="421"/>
      <c r="E50" s="421"/>
      <c r="F50" s="421"/>
      <c r="G50" s="421"/>
      <c r="H50" s="421"/>
      <c r="I50" s="421"/>
      <c r="J50" s="422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 s="64" customFormat="1" ht="15.75">
      <c r="A51" s="263" t="s">
        <v>197</v>
      </c>
      <c r="B51" s="1047" t="s">
        <v>426</v>
      </c>
      <c r="C51" s="1048">
        <v>14000</v>
      </c>
      <c r="D51" s="416">
        <v>600</v>
      </c>
      <c r="E51" s="415" t="s">
        <v>374</v>
      </c>
      <c r="F51" s="417">
        <f>C51*D51</f>
        <v>8400000</v>
      </c>
      <c r="G51" s="418">
        <f>F51</f>
        <v>8400000</v>
      </c>
      <c r="H51" s="418">
        <f>G51*0%</f>
        <v>0</v>
      </c>
      <c r="I51" s="418">
        <f>(H51+G51)*10%</f>
        <v>840000</v>
      </c>
      <c r="J51" s="419">
        <f>H51+G51+I51</f>
        <v>9240000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s="64" customFormat="1" ht="15.75">
      <c r="A52" s="263" t="s">
        <v>198</v>
      </c>
      <c r="B52" s="1047" t="s">
        <v>427</v>
      </c>
      <c r="C52" s="1048">
        <v>9000</v>
      </c>
      <c r="D52" s="416">
        <v>600</v>
      </c>
      <c r="E52" s="415" t="s">
        <v>374</v>
      </c>
      <c r="F52" s="417">
        <f>C52*D52</f>
        <v>5400000</v>
      </c>
      <c r="G52" s="418">
        <f>F52</f>
        <v>5400000</v>
      </c>
      <c r="H52" s="418">
        <f>G52*0%</f>
        <v>0</v>
      </c>
      <c r="I52" s="418">
        <f>(H52+G52)*10%</f>
        <v>540000</v>
      </c>
      <c r="J52" s="419">
        <f>H52+G52+I52</f>
        <v>5940000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s="64" customFormat="1" ht="15.75">
      <c r="A53" s="263" t="s">
        <v>200</v>
      </c>
      <c r="B53" s="1047" t="s">
        <v>428</v>
      </c>
      <c r="C53" s="1048">
        <v>1000</v>
      </c>
      <c r="D53" s="416">
        <v>600</v>
      </c>
      <c r="E53" s="415" t="s">
        <v>374</v>
      </c>
      <c r="F53" s="417">
        <f>C53*D53</f>
        <v>600000</v>
      </c>
      <c r="G53" s="418">
        <f>F53</f>
        <v>600000</v>
      </c>
      <c r="H53" s="418">
        <f>G53*0%</f>
        <v>0</v>
      </c>
      <c r="I53" s="418">
        <f>(H53+G53)*10%</f>
        <v>60000</v>
      </c>
      <c r="J53" s="419">
        <f>H53+G53+I53</f>
        <v>660000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s="64" customFormat="1" ht="7.5" customHeight="1">
      <c r="A54" s="304"/>
      <c r="B54" s="305"/>
      <c r="C54" s="456"/>
      <c r="D54" s="306"/>
      <c r="E54" s="305"/>
      <c r="F54" s="307"/>
      <c r="G54" s="308"/>
      <c r="H54" s="308"/>
      <c r="I54" s="308"/>
      <c r="J54" s="30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s="265" customFormat="1" ht="15.75">
      <c r="A55" s="1098" t="s">
        <v>253</v>
      </c>
      <c r="B55" s="1099"/>
      <c r="C55" s="457"/>
      <c r="D55" s="261"/>
      <c r="E55" s="260"/>
      <c r="F55" s="259">
        <f>SUM(F12:F54)</f>
        <v>646638000</v>
      </c>
      <c r="G55" s="259">
        <f>SUM(G12:G54)</f>
        <v>646638000</v>
      </c>
      <c r="H55" s="259">
        <f>SUM(H12:H54)</f>
        <v>0</v>
      </c>
      <c r="I55" s="259">
        <f>SUM(I12:I54)</f>
        <v>64663800</v>
      </c>
      <c r="J55" s="271">
        <f>SUM(J11:J54)</f>
        <v>711301800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s="268" customFormat="1" ht="11.25" customHeight="1" thickBot="1">
      <c r="A56" s="266"/>
      <c r="B56" s="267"/>
      <c r="C56" s="458"/>
      <c r="D56" s="267"/>
      <c r="E56" s="267"/>
      <c r="F56" s="267"/>
      <c r="G56" s="267"/>
      <c r="H56" s="267"/>
      <c r="I56" s="267"/>
      <c r="J56" s="272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s="65" customFormat="1" ht="15.75" customHeight="1" thickBot="1">
      <c r="A57" s="1100" t="s">
        <v>252</v>
      </c>
      <c r="B57" s="1101"/>
      <c r="C57" s="451"/>
      <c r="D57" s="426"/>
      <c r="E57" s="426"/>
      <c r="F57" s="426"/>
      <c r="G57" s="426"/>
      <c r="H57" s="426"/>
      <c r="I57" s="426"/>
      <c r="J57" s="42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s="65" customFormat="1" ht="15" customHeight="1">
      <c r="A58" s="269"/>
      <c r="B58" s="434" t="s">
        <v>80</v>
      </c>
      <c r="C58" s="459"/>
      <c r="D58" s="435"/>
      <c r="E58" s="435"/>
      <c r="F58" s="435"/>
      <c r="G58" s="435"/>
      <c r="H58" s="435"/>
      <c r="I58" s="435"/>
      <c r="J58" s="44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65" customFormat="1" ht="15.75">
      <c r="A59" s="263" t="s">
        <v>164</v>
      </c>
      <c r="B59" s="1047" t="s">
        <v>418</v>
      </c>
      <c r="C59" s="1048">
        <f>(200*12)*4</f>
        <v>9600</v>
      </c>
      <c r="D59" s="416">
        <v>2100</v>
      </c>
      <c r="E59" s="415" t="s">
        <v>167</v>
      </c>
      <c r="F59" s="417">
        <f>C59*D59</f>
        <v>20160000</v>
      </c>
      <c r="G59" s="418">
        <f>F59</f>
        <v>20160000</v>
      </c>
      <c r="H59" s="418">
        <f>G59*0%</f>
        <v>0</v>
      </c>
      <c r="I59" s="418">
        <f>(H59+G59)*10%</f>
        <v>2016000</v>
      </c>
      <c r="J59" s="419">
        <f>H59+G59+I59</f>
        <v>22176000</v>
      </c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</row>
    <row r="60" spans="1:64" s="65" customFormat="1" ht="15.75">
      <c r="A60" s="263" t="s">
        <v>165</v>
      </c>
      <c r="B60" s="1047" t="s">
        <v>419</v>
      </c>
      <c r="C60" s="1048">
        <f>800*12</f>
        <v>9600</v>
      </c>
      <c r="D60" s="416">
        <v>2000</v>
      </c>
      <c r="E60" s="415" t="s">
        <v>167</v>
      </c>
      <c r="F60" s="417">
        <f>C60*D60</f>
        <v>19200000</v>
      </c>
      <c r="G60" s="418">
        <f>F60</f>
        <v>19200000</v>
      </c>
      <c r="H60" s="418">
        <f>G60*0%</f>
        <v>0</v>
      </c>
      <c r="I60" s="418">
        <f>(H60+G60)*10%</f>
        <v>1920000</v>
      </c>
      <c r="J60" s="419">
        <f>H60+G60+I60</f>
        <v>21120000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s="65" customFormat="1" ht="15" customHeight="1">
      <c r="A61" s="263"/>
      <c r="B61" s="420" t="s">
        <v>83</v>
      </c>
      <c r="C61" s="454"/>
      <c r="D61" s="421"/>
      <c r="E61" s="421"/>
      <c r="F61" s="421"/>
      <c r="G61" s="421"/>
      <c r="H61" s="418"/>
      <c r="I61" s="418"/>
      <c r="J61" s="422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s="65" customFormat="1" ht="15" customHeight="1">
      <c r="A62" s="263" t="s">
        <v>166</v>
      </c>
      <c r="B62" s="1047" t="s">
        <v>153</v>
      </c>
      <c r="C62" s="1048">
        <f>163*10000</f>
        <v>1630000</v>
      </c>
      <c r="D62" s="416">
        <v>10</v>
      </c>
      <c r="E62" s="415" t="s">
        <v>443</v>
      </c>
      <c r="F62" s="417">
        <f>C62*D62</f>
        <v>16300000</v>
      </c>
      <c r="G62" s="418">
        <f>F62</f>
        <v>16300000</v>
      </c>
      <c r="H62" s="418">
        <f>G62*0%</f>
        <v>0</v>
      </c>
      <c r="I62" s="418">
        <f>(H62+G62)*10%</f>
        <v>1630000</v>
      </c>
      <c r="J62" s="419">
        <f>H62+G62+I62</f>
        <v>17930000</v>
      </c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</row>
    <row r="63" spans="1:64" s="65" customFormat="1" ht="15.75">
      <c r="A63" s="263" t="s">
        <v>168</v>
      </c>
      <c r="B63" s="1047" t="s">
        <v>376</v>
      </c>
      <c r="C63" s="1048">
        <v>1500</v>
      </c>
      <c r="D63" s="416">
        <v>1500</v>
      </c>
      <c r="E63" s="415" t="s">
        <v>377</v>
      </c>
      <c r="F63" s="417">
        <f>C63*D63</f>
        <v>2250000</v>
      </c>
      <c r="G63" s="418">
        <f>F63</f>
        <v>2250000</v>
      </c>
      <c r="H63" s="418">
        <f>G63*0%</f>
        <v>0</v>
      </c>
      <c r="I63" s="418">
        <f>(H63+G63)*10%</f>
        <v>225000</v>
      </c>
      <c r="J63" s="419">
        <f>H63+G63+I63</f>
        <v>2475000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s="65" customFormat="1" ht="15" customHeight="1">
      <c r="A64" s="263"/>
      <c r="B64" s="420" t="s">
        <v>85</v>
      </c>
      <c r="C64" s="454"/>
      <c r="D64" s="421"/>
      <c r="E64" s="421"/>
      <c r="F64" s="421"/>
      <c r="G64" s="421"/>
      <c r="H64" s="421"/>
      <c r="I64" s="421"/>
      <c r="J64" s="422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65" customFormat="1" ht="15" customHeight="1">
      <c r="A65" s="263" t="s">
        <v>169</v>
      </c>
      <c r="B65" s="1047" t="s">
        <v>281</v>
      </c>
      <c r="C65" s="1061">
        <v>1</v>
      </c>
      <c r="D65" s="416">
        <v>11160000</v>
      </c>
      <c r="E65" s="415" t="s">
        <v>306</v>
      </c>
      <c r="F65" s="417">
        <f>C65*D65</f>
        <v>11160000</v>
      </c>
      <c r="G65" s="418">
        <f>F65</f>
        <v>11160000</v>
      </c>
      <c r="H65" s="418">
        <f>G65*0%</f>
        <v>0</v>
      </c>
      <c r="I65" s="418">
        <f>(H65+G65)*10%</f>
        <v>1116000</v>
      </c>
      <c r="J65" s="419">
        <f>H65+G65+I65</f>
        <v>12276000</v>
      </c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</row>
    <row r="66" spans="1:64" s="65" customFormat="1" ht="15" customHeight="1">
      <c r="A66" s="263"/>
      <c r="B66" s="420" t="s">
        <v>240</v>
      </c>
      <c r="C66" s="454"/>
      <c r="D66" s="421"/>
      <c r="E66" s="421"/>
      <c r="F66" s="421"/>
      <c r="G66" s="421"/>
      <c r="H66" s="421"/>
      <c r="I66" s="421"/>
      <c r="J66" s="422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s="65" customFormat="1" ht="13.5" customHeight="1">
      <c r="A67" s="263" t="s">
        <v>170</v>
      </c>
      <c r="B67" s="1047" t="s">
        <v>98</v>
      </c>
      <c r="C67" s="1048">
        <v>1</v>
      </c>
      <c r="D67" s="416">
        <v>500000</v>
      </c>
      <c r="E67" s="415"/>
      <c r="F67" s="417">
        <f>C67*D67</f>
        <v>500000</v>
      </c>
      <c r="G67" s="418">
        <f>F67</f>
        <v>500000</v>
      </c>
      <c r="H67" s="418">
        <f>G67*0%</f>
        <v>0</v>
      </c>
      <c r="I67" s="418">
        <f>(H67+G67)*10%</f>
        <v>50000</v>
      </c>
      <c r="J67" s="419">
        <f>H67+G67+I67</f>
        <v>550000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s="65" customFormat="1" ht="15.75">
      <c r="A68" s="263" t="s">
        <v>171</v>
      </c>
      <c r="B68" s="1047" t="s">
        <v>99</v>
      </c>
      <c r="C68" s="1048">
        <v>3</v>
      </c>
      <c r="D68" s="416">
        <v>500000</v>
      </c>
      <c r="E68" s="415"/>
      <c r="F68" s="417">
        <f>C68*D68</f>
        <v>1500000</v>
      </c>
      <c r="G68" s="418">
        <f>F68</f>
        <v>1500000</v>
      </c>
      <c r="H68" s="418">
        <f>G68*0%</f>
        <v>0</v>
      </c>
      <c r="I68" s="418">
        <f>(H68+G68)*10%</f>
        <v>150000</v>
      </c>
      <c r="J68" s="419">
        <f>H68+G68+I68</f>
        <v>1650000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s="65" customFormat="1" ht="15" customHeight="1">
      <c r="A69" s="263"/>
      <c r="B69" s="420" t="s">
        <v>141</v>
      </c>
      <c r="C69" s="454"/>
      <c r="D69" s="421"/>
      <c r="E69" s="421"/>
      <c r="F69" s="421"/>
      <c r="G69" s="421"/>
      <c r="H69" s="421"/>
      <c r="I69" s="421"/>
      <c r="J69" s="422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s="65" customFormat="1" ht="12" customHeight="1">
      <c r="A70" s="263" t="s">
        <v>173</v>
      </c>
      <c r="B70" s="1047" t="s">
        <v>100</v>
      </c>
      <c r="C70" s="1048">
        <f>35*10000</f>
        <v>350000</v>
      </c>
      <c r="D70" s="416">
        <v>5</v>
      </c>
      <c r="E70" s="415" t="s">
        <v>172</v>
      </c>
      <c r="F70" s="417">
        <f>C70*D70</f>
        <v>1750000</v>
      </c>
      <c r="G70" s="418">
        <f>F70</f>
        <v>1750000</v>
      </c>
      <c r="H70" s="418">
        <f>G70*0%</f>
        <v>0</v>
      </c>
      <c r="I70" s="418">
        <f>(H70+G70)*10%</f>
        <v>175000</v>
      </c>
      <c r="J70" s="419">
        <f>H70+G70+I70</f>
        <v>1925000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s="65" customFormat="1" ht="15" customHeight="1">
      <c r="A71" s="263"/>
      <c r="B71" s="420" t="s">
        <v>211</v>
      </c>
      <c r="C71" s="454"/>
      <c r="D71" s="421"/>
      <c r="E71" s="421"/>
      <c r="F71" s="421"/>
      <c r="G71" s="421"/>
      <c r="H71" s="421"/>
      <c r="I71" s="421"/>
      <c r="J71" s="422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s="826" customFormat="1" ht="15.75">
      <c r="A72" s="816" t="s">
        <v>174</v>
      </c>
      <c r="B72" s="817" t="s">
        <v>378</v>
      </c>
      <c r="C72" s="1063">
        <v>90</v>
      </c>
      <c r="D72" s="819">
        <v>0</v>
      </c>
      <c r="E72" s="820"/>
      <c r="F72" s="821">
        <f>C72*D72</f>
        <v>0</v>
      </c>
      <c r="G72" s="822">
        <f>F72</f>
        <v>0</v>
      </c>
      <c r="H72" s="822">
        <f>G72*0%</f>
        <v>0</v>
      </c>
      <c r="I72" s="822">
        <f>(H72+G72)*10%</f>
        <v>0</v>
      </c>
      <c r="J72" s="823">
        <f>H72+G72+I72</f>
        <v>0</v>
      </c>
      <c r="K72" s="824"/>
      <c r="L72" s="824"/>
      <c r="M72" s="824"/>
      <c r="N72" s="824"/>
      <c r="O72" s="824"/>
      <c r="P72" s="824"/>
      <c r="Q72" s="824"/>
      <c r="R72" s="824"/>
      <c r="S72" s="824"/>
      <c r="T72" s="824"/>
      <c r="U72" s="824"/>
      <c r="V72" s="824"/>
      <c r="W72" s="824"/>
      <c r="X72" s="824"/>
      <c r="Y72" s="824"/>
      <c r="Z72" s="824"/>
      <c r="AA72" s="824"/>
      <c r="AB72" s="824"/>
      <c r="AC72" s="824"/>
      <c r="AD72" s="824"/>
      <c r="AE72" s="824"/>
      <c r="AF72" s="824"/>
      <c r="AG72" s="824"/>
      <c r="AH72" s="824"/>
      <c r="AI72" s="824"/>
      <c r="AJ72" s="824"/>
      <c r="AK72" s="824"/>
      <c r="AL72" s="824"/>
      <c r="AM72" s="824"/>
      <c r="AN72" s="824"/>
      <c r="AO72" s="824"/>
      <c r="AP72" s="824"/>
      <c r="AQ72" s="824"/>
      <c r="AR72" s="824"/>
      <c r="AS72" s="824"/>
      <c r="AT72" s="824"/>
      <c r="AU72" s="824"/>
      <c r="AV72" s="824"/>
      <c r="AW72" s="824"/>
      <c r="AX72" s="824"/>
      <c r="AY72" s="824"/>
      <c r="AZ72" s="824"/>
      <c r="BA72" s="824"/>
      <c r="BB72" s="824"/>
      <c r="BC72" s="824"/>
      <c r="BD72" s="824"/>
      <c r="BE72" s="824"/>
      <c r="BF72" s="824"/>
      <c r="BG72" s="824"/>
      <c r="BH72" s="824"/>
      <c r="BI72" s="824"/>
      <c r="BJ72" s="824"/>
      <c r="BK72" s="824"/>
      <c r="BL72" s="824"/>
    </row>
    <row r="73" spans="1:64" s="65" customFormat="1" ht="15" customHeight="1">
      <c r="A73" s="263"/>
      <c r="B73" s="420" t="s">
        <v>7</v>
      </c>
      <c r="C73" s="454"/>
      <c r="D73" s="421"/>
      <c r="E73" s="421"/>
      <c r="F73" s="421"/>
      <c r="G73" s="421"/>
      <c r="H73" s="421"/>
      <c r="I73" s="421"/>
      <c r="J73" s="422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65" customFormat="1" ht="15.75">
      <c r="A74" s="263" t="s">
        <v>176</v>
      </c>
      <c r="B74" s="1047" t="s">
        <v>40</v>
      </c>
      <c r="C74" s="1048">
        <v>2100</v>
      </c>
      <c r="D74" s="416">
        <v>105000</v>
      </c>
      <c r="E74" s="415" t="s">
        <v>180</v>
      </c>
      <c r="F74" s="417">
        <f>C74*D74</f>
        <v>220500000</v>
      </c>
      <c r="G74" s="418">
        <f>F74</f>
        <v>220500000</v>
      </c>
      <c r="H74" s="418">
        <f>G74*0%</f>
        <v>0</v>
      </c>
      <c r="I74" s="418">
        <f>(H74+G74)*10%</f>
        <v>22050000</v>
      </c>
      <c r="J74" s="419">
        <f>H74+G74+I74</f>
        <v>242550000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65" customFormat="1" ht="15.75">
      <c r="A75" s="263" t="s">
        <v>178</v>
      </c>
      <c r="B75" s="1047" t="s">
        <v>41</v>
      </c>
      <c r="C75" s="1048">
        <v>1500</v>
      </c>
      <c r="D75" s="416">
        <v>105000</v>
      </c>
      <c r="E75" s="415" t="s">
        <v>180</v>
      </c>
      <c r="F75" s="417">
        <f>C75*D75</f>
        <v>157500000</v>
      </c>
      <c r="G75" s="418">
        <f aca="true" t="shared" si="1" ref="G75:G98">F75</f>
        <v>157500000</v>
      </c>
      <c r="H75" s="418">
        <f>G75*0%</f>
        <v>0</v>
      </c>
      <c r="I75" s="418">
        <f>(H75+G75)*10%</f>
        <v>15750000</v>
      </c>
      <c r="J75" s="419">
        <f>H75+G75+I75</f>
        <v>173250000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65" customFormat="1" ht="15.75">
      <c r="A76" s="263" t="s">
        <v>179</v>
      </c>
      <c r="B76" s="1047" t="s">
        <v>429</v>
      </c>
      <c r="C76" s="1048">
        <v>200</v>
      </c>
      <c r="D76" s="416">
        <v>105000</v>
      </c>
      <c r="E76" s="415" t="s">
        <v>180</v>
      </c>
      <c r="F76" s="417">
        <f>C76*D76</f>
        <v>21000000</v>
      </c>
      <c r="G76" s="418">
        <f t="shared" si="1"/>
        <v>21000000</v>
      </c>
      <c r="H76" s="418">
        <f>G76*0%</f>
        <v>0</v>
      </c>
      <c r="I76" s="418">
        <f>(H76+G76)*10%</f>
        <v>2100000</v>
      </c>
      <c r="J76" s="419">
        <f>H76+G76+I76</f>
        <v>23100000</v>
      </c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</row>
    <row r="77" spans="1:64" s="65" customFormat="1" ht="15.75">
      <c r="A77" s="263" t="s">
        <v>181</v>
      </c>
      <c r="B77" s="1047" t="s">
        <v>43</v>
      </c>
      <c r="C77" s="1048">
        <v>829</v>
      </c>
      <c r="D77" s="416">
        <v>105000</v>
      </c>
      <c r="E77" s="415" t="s">
        <v>180</v>
      </c>
      <c r="F77" s="417">
        <f>C77*D77</f>
        <v>87045000</v>
      </c>
      <c r="G77" s="418">
        <f t="shared" si="1"/>
        <v>87045000</v>
      </c>
      <c r="H77" s="418">
        <f>G77*0%</f>
        <v>0</v>
      </c>
      <c r="I77" s="418">
        <f>(H77+G77)*10%</f>
        <v>8704500</v>
      </c>
      <c r="J77" s="419">
        <f>H77+G77+I77</f>
        <v>95749500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s="65" customFormat="1" ht="15.75">
      <c r="A78" s="263"/>
      <c r="B78" s="420" t="s">
        <v>10</v>
      </c>
      <c r="C78" s="454"/>
      <c r="D78" s="421"/>
      <c r="E78" s="421"/>
      <c r="F78" s="421"/>
      <c r="G78" s="421"/>
      <c r="H78" s="421"/>
      <c r="I78" s="421"/>
      <c r="J78" s="422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s="65" customFormat="1" ht="15.75">
      <c r="A79" s="673" t="s">
        <v>182</v>
      </c>
      <c r="B79" s="1047" t="s">
        <v>52</v>
      </c>
      <c r="C79" s="1048">
        <v>6000</v>
      </c>
      <c r="D79" s="416">
        <v>900</v>
      </c>
      <c r="E79" s="415" t="s">
        <v>192</v>
      </c>
      <c r="F79" s="417">
        <f>C79*D79</f>
        <v>5400000</v>
      </c>
      <c r="G79" s="418">
        <f t="shared" si="1"/>
        <v>5400000</v>
      </c>
      <c r="H79" s="418">
        <f>G79*0%</f>
        <v>0</v>
      </c>
      <c r="I79" s="418">
        <f>(H79+G79)*10%</f>
        <v>540000</v>
      </c>
      <c r="J79" s="419">
        <f>H79+G79+I79</f>
        <v>5940000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s="65" customFormat="1" ht="15.75">
      <c r="A80" s="673" t="s">
        <v>183</v>
      </c>
      <c r="B80" s="1047" t="s">
        <v>53</v>
      </c>
      <c r="C80" s="1048">
        <v>10000</v>
      </c>
      <c r="D80" s="416">
        <v>900</v>
      </c>
      <c r="E80" s="415" t="s">
        <v>192</v>
      </c>
      <c r="F80" s="417">
        <f>C80*D80</f>
        <v>9000000</v>
      </c>
      <c r="G80" s="418">
        <f t="shared" si="1"/>
        <v>9000000</v>
      </c>
      <c r="H80" s="418">
        <f>G80*0%</f>
        <v>0</v>
      </c>
      <c r="I80" s="418">
        <f>(H80+G80)*10%</f>
        <v>900000</v>
      </c>
      <c r="J80" s="419">
        <f>H80+G80+I80</f>
        <v>9900000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s="65" customFormat="1" ht="15.75">
      <c r="A81" s="263" t="s">
        <v>184</v>
      </c>
      <c r="B81" s="1047" t="s">
        <v>55</v>
      </c>
      <c r="C81" s="1048">
        <v>2000</v>
      </c>
      <c r="D81" s="416">
        <v>900</v>
      </c>
      <c r="E81" s="415" t="s">
        <v>192</v>
      </c>
      <c r="F81" s="417">
        <f>C81*D81</f>
        <v>1800000</v>
      </c>
      <c r="G81" s="418">
        <f t="shared" si="1"/>
        <v>1800000</v>
      </c>
      <c r="H81" s="418">
        <f>G81*0%</f>
        <v>0</v>
      </c>
      <c r="I81" s="418">
        <f>(H81+G81)*10%</f>
        <v>180000</v>
      </c>
      <c r="J81" s="419">
        <f>H81+G81+I81</f>
        <v>1980000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65" customFormat="1" ht="15.75">
      <c r="A82" s="263" t="s">
        <v>185</v>
      </c>
      <c r="B82" s="1047" t="s">
        <v>56</v>
      </c>
      <c r="C82" s="1048">
        <v>48000</v>
      </c>
      <c r="D82" s="416">
        <v>900</v>
      </c>
      <c r="E82" s="415" t="s">
        <v>192</v>
      </c>
      <c r="F82" s="417">
        <f>C82*D82</f>
        <v>43200000</v>
      </c>
      <c r="G82" s="418">
        <f t="shared" si="1"/>
        <v>43200000</v>
      </c>
      <c r="H82" s="418">
        <f>G82*0%</f>
        <v>0</v>
      </c>
      <c r="I82" s="418">
        <f>(H82+G82)*10%</f>
        <v>4320000</v>
      </c>
      <c r="J82" s="419">
        <f>H82+G82+I82</f>
        <v>47520000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s="65" customFormat="1" ht="15.75">
      <c r="A83" s="263" t="s">
        <v>186</v>
      </c>
      <c r="B83" s="1047" t="s">
        <v>63</v>
      </c>
      <c r="C83" s="1048">
        <v>4000</v>
      </c>
      <c r="D83" s="416">
        <v>900</v>
      </c>
      <c r="E83" s="415" t="s">
        <v>192</v>
      </c>
      <c r="F83" s="417">
        <f>C83*D83</f>
        <v>3600000</v>
      </c>
      <c r="G83" s="418">
        <f t="shared" si="1"/>
        <v>3600000</v>
      </c>
      <c r="H83" s="418">
        <f>G83*0%</f>
        <v>0</v>
      </c>
      <c r="I83" s="418">
        <f>(H83+G83)*10%</f>
        <v>360000</v>
      </c>
      <c r="J83" s="419">
        <f>H83+G83+I83</f>
        <v>3960000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s="65" customFormat="1" ht="15.75">
      <c r="A84" s="263"/>
      <c r="B84" s="420" t="s">
        <v>12</v>
      </c>
      <c r="C84" s="454"/>
      <c r="D84" s="421"/>
      <c r="E84" s="421"/>
      <c r="F84" s="421"/>
      <c r="G84" s="421"/>
      <c r="H84" s="421"/>
      <c r="I84" s="421"/>
      <c r="J84" s="422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s="65" customFormat="1" ht="15.75">
      <c r="A85" s="263" t="s">
        <v>187</v>
      </c>
      <c r="B85" s="1047" t="s">
        <v>58</v>
      </c>
      <c r="C85" s="1048">
        <v>5000</v>
      </c>
      <c r="D85" s="416">
        <v>1800</v>
      </c>
      <c r="E85" s="415" t="s">
        <v>199</v>
      </c>
      <c r="F85" s="417">
        <f>C85*D85</f>
        <v>9000000</v>
      </c>
      <c r="G85" s="418">
        <f t="shared" si="1"/>
        <v>9000000</v>
      </c>
      <c r="H85" s="418">
        <f>G85*0%</f>
        <v>0</v>
      </c>
      <c r="I85" s="418">
        <f>(H85+G85)*10%</f>
        <v>900000</v>
      </c>
      <c r="J85" s="419">
        <f>H85+G85+I85</f>
        <v>9900000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s="65" customFormat="1" ht="15.75">
      <c r="A86" s="263" t="s">
        <v>188</v>
      </c>
      <c r="B86" s="1047" t="s">
        <v>59</v>
      </c>
      <c r="C86" s="1048">
        <v>5000</v>
      </c>
      <c r="D86" s="416">
        <v>1800</v>
      </c>
      <c r="E86" s="415" t="s">
        <v>199</v>
      </c>
      <c r="F86" s="417">
        <f>C86*D86</f>
        <v>9000000</v>
      </c>
      <c r="G86" s="418">
        <f t="shared" si="1"/>
        <v>9000000</v>
      </c>
      <c r="H86" s="418">
        <f>G86*0%</f>
        <v>0</v>
      </c>
      <c r="I86" s="418">
        <f>(H86+G86)*10%</f>
        <v>900000</v>
      </c>
      <c r="J86" s="419">
        <f>H86+G86+I86</f>
        <v>9900000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s="65" customFormat="1" ht="15.75">
      <c r="A87" s="263"/>
      <c r="B87" s="420" t="s">
        <v>5</v>
      </c>
      <c r="C87" s="454"/>
      <c r="D87" s="421"/>
      <c r="E87" s="421"/>
      <c r="F87" s="421"/>
      <c r="G87" s="421"/>
      <c r="H87" s="421"/>
      <c r="I87" s="421"/>
      <c r="J87" s="422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s="65" customFormat="1" ht="15.75">
      <c r="A88" s="263" t="s">
        <v>189</v>
      </c>
      <c r="B88" s="1047" t="s">
        <v>272</v>
      </c>
      <c r="C88" s="1048">
        <v>5000</v>
      </c>
      <c r="D88" s="416">
        <v>800</v>
      </c>
      <c r="E88" s="415" t="s">
        <v>212</v>
      </c>
      <c r="F88" s="417">
        <f>C88*D88</f>
        <v>4000000</v>
      </c>
      <c r="G88" s="418">
        <f t="shared" si="1"/>
        <v>4000000</v>
      </c>
      <c r="H88" s="418">
        <f>G88*0%</f>
        <v>0</v>
      </c>
      <c r="I88" s="418">
        <f>(H88+G88)*10%</f>
        <v>400000</v>
      </c>
      <c r="J88" s="419">
        <f>H88+G88+I88</f>
        <v>4400000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s="65" customFormat="1" ht="15.75">
      <c r="A89" s="263" t="s">
        <v>190</v>
      </c>
      <c r="B89" s="1047" t="s">
        <v>273</v>
      </c>
      <c r="C89" s="1048">
        <v>2000</v>
      </c>
      <c r="D89" s="416">
        <v>800</v>
      </c>
      <c r="E89" s="415" t="s">
        <v>212</v>
      </c>
      <c r="F89" s="417">
        <f>C89*D89</f>
        <v>1600000</v>
      </c>
      <c r="G89" s="418">
        <f t="shared" si="1"/>
        <v>1600000</v>
      </c>
      <c r="H89" s="418">
        <f>G89*0%</f>
        <v>0</v>
      </c>
      <c r="I89" s="418">
        <f>(H89+G89)*10%</f>
        <v>160000</v>
      </c>
      <c r="J89" s="419">
        <f>H89+G89+I89</f>
        <v>1760000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s="65" customFormat="1" ht="15.75">
      <c r="A90" s="263" t="s">
        <v>191</v>
      </c>
      <c r="B90" s="1047" t="s">
        <v>430</v>
      </c>
      <c r="C90" s="1048">
        <v>6000</v>
      </c>
      <c r="D90" s="416">
        <v>800</v>
      </c>
      <c r="E90" s="415" t="s">
        <v>325</v>
      </c>
      <c r="F90" s="417">
        <f>C90*D90</f>
        <v>4800000</v>
      </c>
      <c r="G90" s="418">
        <f t="shared" si="1"/>
        <v>4800000</v>
      </c>
      <c r="H90" s="418">
        <f>G90*0%</f>
        <v>0</v>
      </c>
      <c r="I90" s="418">
        <f>(H90+G90)*10%</f>
        <v>480000</v>
      </c>
      <c r="J90" s="419">
        <f>H90+G90+I90</f>
        <v>5280000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s="65" customFormat="1" ht="15.75">
      <c r="A91" s="263"/>
      <c r="B91" s="420" t="s">
        <v>8</v>
      </c>
      <c r="C91" s="454"/>
      <c r="D91" s="421"/>
      <c r="E91" s="421"/>
      <c r="F91" s="421"/>
      <c r="G91" s="421"/>
      <c r="H91" s="421"/>
      <c r="I91" s="421"/>
      <c r="J91" s="422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s="65" customFormat="1" ht="15.75">
      <c r="A92" s="263" t="s">
        <v>193</v>
      </c>
      <c r="B92" s="1047" t="s">
        <v>431</v>
      </c>
      <c r="C92" s="1048">
        <v>2000</v>
      </c>
      <c r="D92" s="416">
        <v>600</v>
      </c>
      <c r="E92" s="415" t="s">
        <v>374</v>
      </c>
      <c r="F92" s="417">
        <f>C92*D92</f>
        <v>1200000</v>
      </c>
      <c r="G92" s="418">
        <f t="shared" si="1"/>
        <v>1200000</v>
      </c>
      <c r="H92" s="418">
        <f>G92*0%</f>
        <v>0</v>
      </c>
      <c r="I92" s="418">
        <f>(H92+G92)*10%</f>
        <v>120000</v>
      </c>
      <c r="J92" s="419">
        <f>H92+G92+I92</f>
        <v>1320000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s="65" customFormat="1" ht="15.75">
      <c r="A93" s="263" t="s">
        <v>194</v>
      </c>
      <c r="B93" s="1047" t="s">
        <v>60</v>
      </c>
      <c r="C93" s="1048">
        <v>4000</v>
      </c>
      <c r="D93" s="416">
        <v>600</v>
      </c>
      <c r="E93" s="415" t="s">
        <v>374</v>
      </c>
      <c r="F93" s="417">
        <f>C93*D93</f>
        <v>2400000</v>
      </c>
      <c r="G93" s="418">
        <f t="shared" si="1"/>
        <v>2400000</v>
      </c>
      <c r="H93" s="418">
        <f>G93*0%</f>
        <v>0</v>
      </c>
      <c r="I93" s="418">
        <f>(H93+G93)*10%</f>
        <v>240000</v>
      </c>
      <c r="J93" s="419">
        <f>H93+G93+I93</f>
        <v>2640000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s="65" customFormat="1" ht="15" customHeight="1">
      <c r="A94" s="263" t="s">
        <v>195</v>
      </c>
      <c r="B94" s="1047" t="s">
        <v>432</v>
      </c>
      <c r="C94" s="1048">
        <v>4000</v>
      </c>
      <c r="D94" s="416">
        <v>600</v>
      </c>
      <c r="E94" s="415" t="s">
        <v>374</v>
      </c>
      <c r="F94" s="417">
        <f>C94*D94</f>
        <v>2400000</v>
      </c>
      <c r="G94" s="418">
        <f t="shared" si="1"/>
        <v>2400000</v>
      </c>
      <c r="H94" s="418">
        <f>G94*0%</f>
        <v>0</v>
      </c>
      <c r="I94" s="418">
        <f>(H94+G94)*10%</f>
        <v>240000</v>
      </c>
      <c r="J94" s="419">
        <f>H94+G94+I94</f>
        <v>2640000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s="65" customFormat="1" ht="15.75">
      <c r="A95" s="263"/>
      <c r="B95" s="420" t="s">
        <v>9</v>
      </c>
      <c r="C95" s="454"/>
      <c r="D95" s="421"/>
      <c r="E95" s="421"/>
      <c r="F95" s="421"/>
      <c r="G95" s="421"/>
      <c r="H95" s="421"/>
      <c r="I95" s="421"/>
      <c r="J95" s="422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 s="65" customFormat="1" ht="15.75">
      <c r="A96" s="263" t="s">
        <v>196</v>
      </c>
      <c r="B96" s="1047" t="s">
        <v>60</v>
      </c>
      <c r="C96" s="1048">
        <v>4000</v>
      </c>
      <c r="D96" s="416">
        <v>650</v>
      </c>
      <c r="E96" s="415" t="s">
        <v>210</v>
      </c>
      <c r="F96" s="417">
        <f>C96*D96</f>
        <v>2600000</v>
      </c>
      <c r="G96" s="418">
        <f t="shared" si="1"/>
        <v>2600000</v>
      </c>
      <c r="H96" s="418">
        <f>G96*0%</f>
        <v>0</v>
      </c>
      <c r="I96" s="418">
        <f>(H96+G96)*10%</f>
        <v>260000</v>
      </c>
      <c r="J96" s="419">
        <f>H96+G96+I96</f>
        <v>2860000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s="65" customFormat="1" ht="15.75">
      <c r="A97" s="263" t="s">
        <v>197</v>
      </c>
      <c r="B97" s="1047" t="s">
        <v>62</v>
      </c>
      <c r="C97" s="1048">
        <v>36000</v>
      </c>
      <c r="D97" s="416">
        <v>650</v>
      </c>
      <c r="E97" s="415" t="s">
        <v>210</v>
      </c>
      <c r="F97" s="417">
        <f>C97*D97</f>
        <v>23400000</v>
      </c>
      <c r="G97" s="418">
        <f t="shared" si="1"/>
        <v>23400000</v>
      </c>
      <c r="H97" s="418">
        <f>G97*0%</f>
        <v>0</v>
      </c>
      <c r="I97" s="418">
        <f>(H97+G97)*10%</f>
        <v>2340000</v>
      </c>
      <c r="J97" s="419">
        <f>H97+G97+I97</f>
        <v>25740000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64" s="65" customFormat="1" ht="15.75">
      <c r="A98" s="264" t="s">
        <v>198</v>
      </c>
      <c r="B98" s="1047" t="s">
        <v>63</v>
      </c>
      <c r="C98" s="1048">
        <v>4000</v>
      </c>
      <c r="D98" s="416">
        <v>650</v>
      </c>
      <c r="E98" s="415" t="s">
        <v>210</v>
      </c>
      <c r="F98" s="417">
        <f>C98*D98</f>
        <v>2600000</v>
      </c>
      <c r="G98" s="418">
        <f t="shared" si="1"/>
        <v>2600000</v>
      </c>
      <c r="H98" s="418">
        <f>G98*0%</f>
        <v>0</v>
      </c>
      <c r="I98" s="418">
        <f>(H98+G98)*10%</f>
        <v>260000</v>
      </c>
      <c r="J98" s="419">
        <f>H98+G98+I98</f>
        <v>2860000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s="64" customFormat="1" ht="7.5" customHeight="1">
      <c r="A99" s="304"/>
      <c r="B99" s="305"/>
      <c r="C99" s="456"/>
      <c r="D99" s="306"/>
      <c r="E99" s="305"/>
      <c r="F99" s="307"/>
      <c r="G99" s="308"/>
      <c r="H99" s="308"/>
      <c r="I99" s="308"/>
      <c r="J99" s="30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s="66" customFormat="1" ht="14.25" customHeight="1">
      <c r="A100" s="273"/>
      <c r="B100" s="441" t="s">
        <v>4</v>
      </c>
      <c r="C100" s="460"/>
      <c r="D100" s="275"/>
      <c r="E100" s="274"/>
      <c r="F100" s="276">
        <f>SUM(F58:F99)</f>
        <v>684865000</v>
      </c>
      <c r="G100" s="276">
        <f>SUM(G58:G99)</f>
        <v>684865000</v>
      </c>
      <c r="H100" s="276">
        <f>SUM(H58:H99)</f>
        <v>0</v>
      </c>
      <c r="I100" s="276">
        <f>SUM(I58:I99)</f>
        <v>68486500</v>
      </c>
      <c r="J100" s="276">
        <f>SUM(J58:J99)</f>
        <v>753351500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s="268" customFormat="1" ht="11.25" customHeight="1" thickBot="1">
      <c r="A101" s="266"/>
      <c r="B101" s="267"/>
      <c r="C101" s="458"/>
      <c r="D101" s="267"/>
      <c r="E101" s="267"/>
      <c r="F101" s="267"/>
      <c r="G101" s="267"/>
      <c r="H101" s="267"/>
      <c r="I101" s="267"/>
      <c r="J101" s="267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ht="15" customHeight="1" thickBot="1">
      <c r="A102" s="425"/>
      <c r="B102" s="426" t="s">
        <v>102</v>
      </c>
      <c r="C102" s="451"/>
      <c r="D102" s="426"/>
      <c r="E102" s="426"/>
      <c r="F102" s="426"/>
      <c r="G102" s="426"/>
      <c r="H102" s="426"/>
      <c r="I102" s="426"/>
      <c r="J102" s="427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s="62" customFormat="1" ht="14.25" customHeight="1">
      <c r="A103" s="250"/>
      <c r="B103" s="434" t="s">
        <v>104</v>
      </c>
      <c r="C103" s="459"/>
      <c r="D103" s="435"/>
      <c r="E103" s="435"/>
      <c r="F103" s="435"/>
      <c r="G103" s="435"/>
      <c r="H103" s="435"/>
      <c r="I103" s="435"/>
      <c r="J103" s="440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s="65" customFormat="1" ht="15.75">
      <c r="A104" s="263" t="s">
        <v>164</v>
      </c>
      <c r="B104" s="1047" t="s">
        <v>138</v>
      </c>
      <c r="C104" s="1048">
        <v>13.5</v>
      </c>
      <c r="D104" s="416">
        <v>2300000</v>
      </c>
      <c r="E104" s="415"/>
      <c r="F104" s="417">
        <f>C104*D104</f>
        <v>31050000</v>
      </c>
      <c r="G104" s="418">
        <f>F104</f>
        <v>31050000</v>
      </c>
      <c r="H104" s="418">
        <f>G104*0%</f>
        <v>0</v>
      </c>
      <c r="I104" s="418">
        <f>(H104+G104)*10%</f>
        <v>3105000</v>
      </c>
      <c r="J104" s="419">
        <f>H104+G104+I104</f>
        <v>34155000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s="65" customFormat="1" ht="15" customHeight="1">
      <c r="A105" s="263" t="s">
        <v>165</v>
      </c>
      <c r="B105" s="1047" t="s">
        <v>215</v>
      </c>
      <c r="C105" s="1048">
        <v>2</v>
      </c>
      <c r="D105" s="416">
        <v>2500000</v>
      </c>
      <c r="E105" s="415" t="s">
        <v>308</v>
      </c>
      <c r="F105" s="417">
        <f>C105*D105</f>
        <v>5000000</v>
      </c>
      <c r="G105" s="418">
        <f>F105</f>
        <v>5000000</v>
      </c>
      <c r="H105" s="418">
        <f>G105*0%</f>
        <v>0</v>
      </c>
      <c r="I105" s="418">
        <f>(H105+G105)*10%</f>
        <v>500000</v>
      </c>
      <c r="J105" s="419">
        <f>H105+G105+I105</f>
        <v>5500000</v>
      </c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</row>
    <row r="106" spans="1:64" s="65" customFormat="1" ht="15" customHeight="1">
      <c r="A106" s="263"/>
      <c r="B106" s="420" t="s">
        <v>105</v>
      </c>
      <c r="C106" s="454"/>
      <c r="D106" s="421"/>
      <c r="E106" s="421"/>
      <c r="F106" s="421"/>
      <c r="G106" s="421"/>
      <c r="H106" s="421"/>
      <c r="I106" s="421"/>
      <c r="J106" s="422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s="65" customFormat="1" ht="15" customHeight="1">
      <c r="A107" s="288" t="s">
        <v>166</v>
      </c>
      <c r="B107" s="1047" t="s">
        <v>216</v>
      </c>
      <c r="C107" s="1048">
        <v>1</v>
      </c>
      <c r="D107" s="416">
        <v>7000000</v>
      </c>
      <c r="E107" s="415" t="s">
        <v>217</v>
      </c>
      <c r="F107" s="417">
        <f>C107*D107</f>
        <v>7000000</v>
      </c>
      <c r="G107" s="418">
        <f>F107</f>
        <v>7000000</v>
      </c>
      <c r="H107" s="418">
        <f>G107*0%</f>
        <v>0</v>
      </c>
      <c r="I107" s="418">
        <f>(H107+G107)*10%</f>
        <v>700000</v>
      </c>
      <c r="J107" s="419">
        <f>H107+G107+I107</f>
        <v>7700000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65" customFormat="1" ht="15" customHeight="1">
      <c r="A108" s="263"/>
      <c r="B108" s="420" t="s">
        <v>239</v>
      </c>
      <c r="C108" s="454"/>
      <c r="D108" s="421"/>
      <c r="E108" s="421"/>
      <c r="F108" s="421"/>
      <c r="G108" s="421"/>
      <c r="H108" s="421"/>
      <c r="I108" s="421"/>
      <c r="J108" s="422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s="65" customFormat="1" ht="15" customHeight="1">
      <c r="A109" s="288" t="s">
        <v>168</v>
      </c>
      <c r="B109" s="1047" t="s">
        <v>106</v>
      </c>
      <c r="C109" s="1048">
        <f>300*10000</f>
        <v>3000000</v>
      </c>
      <c r="D109" s="1064">
        <v>3.5</v>
      </c>
      <c r="E109" s="415" t="s">
        <v>389</v>
      </c>
      <c r="F109" s="417">
        <f>C109*D109</f>
        <v>10500000</v>
      </c>
      <c r="G109" s="418">
        <f>F109</f>
        <v>10500000</v>
      </c>
      <c r="H109" s="418">
        <f>G109*0%</f>
        <v>0</v>
      </c>
      <c r="I109" s="418">
        <f>(H109+G109)*10%</f>
        <v>1050000</v>
      </c>
      <c r="J109" s="419">
        <f>H109+G109+I109</f>
        <v>11550000</v>
      </c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</row>
    <row r="110" spans="1:64" s="65" customFormat="1" ht="15" customHeight="1">
      <c r="A110" s="263"/>
      <c r="B110" s="420" t="s">
        <v>218</v>
      </c>
      <c r="C110" s="454"/>
      <c r="D110" s="421"/>
      <c r="E110" s="421"/>
      <c r="F110" s="421"/>
      <c r="G110" s="421"/>
      <c r="H110" s="421"/>
      <c r="I110" s="421"/>
      <c r="J110" s="422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s="65" customFormat="1" ht="13.5" customHeight="1">
      <c r="A111" s="263" t="s">
        <v>169</v>
      </c>
      <c r="B111" s="1047" t="s">
        <v>218</v>
      </c>
      <c r="C111" s="453">
        <v>0</v>
      </c>
      <c r="D111" s="416">
        <v>0</v>
      </c>
      <c r="E111" s="415" t="s">
        <v>379</v>
      </c>
      <c r="F111" s="417">
        <f>C111*D111</f>
        <v>0</v>
      </c>
      <c r="G111" s="418">
        <f>F111</f>
        <v>0</v>
      </c>
      <c r="H111" s="418">
        <f>G111*0%</f>
        <v>0</v>
      </c>
      <c r="I111" s="418">
        <f>(H111+G111)*10%</f>
        <v>0</v>
      </c>
      <c r="J111" s="419">
        <f>H111+G111+I111</f>
        <v>0</v>
      </c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</row>
    <row r="112" spans="1:64" s="65" customFormat="1" ht="15" customHeight="1">
      <c r="A112" s="263"/>
      <c r="B112" s="420" t="s">
        <v>85</v>
      </c>
      <c r="C112" s="454"/>
      <c r="D112" s="421"/>
      <c r="E112" s="421"/>
      <c r="F112" s="421"/>
      <c r="G112" s="421"/>
      <c r="H112" s="421"/>
      <c r="I112" s="421"/>
      <c r="J112" s="42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s="65" customFormat="1" ht="23.25" customHeight="1">
      <c r="A113" s="263" t="s">
        <v>170</v>
      </c>
      <c r="B113" s="1047" t="s">
        <v>276</v>
      </c>
      <c r="C113" s="1048">
        <v>1</v>
      </c>
      <c r="D113" s="416">
        <v>3732000</v>
      </c>
      <c r="E113" s="415" t="s">
        <v>442</v>
      </c>
      <c r="F113" s="417">
        <f>C113*D113</f>
        <v>3732000</v>
      </c>
      <c r="G113" s="418">
        <f>F113</f>
        <v>3732000</v>
      </c>
      <c r="H113" s="418">
        <f>G113*0%</f>
        <v>0</v>
      </c>
      <c r="I113" s="418">
        <f>(H113+G113)*10%</f>
        <v>373200</v>
      </c>
      <c r="J113" s="419">
        <f>H113+G113+I113</f>
        <v>4105200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s="65" customFormat="1" ht="15.75">
      <c r="A114" s="263" t="s">
        <v>171</v>
      </c>
      <c r="B114" s="1047" t="s">
        <v>282</v>
      </c>
      <c r="C114" s="1048">
        <v>1</v>
      </c>
      <c r="D114" s="416">
        <v>2000000</v>
      </c>
      <c r="E114" s="415" t="s">
        <v>380</v>
      </c>
      <c r="F114" s="417">
        <f>C114*D114</f>
        <v>2000000</v>
      </c>
      <c r="G114" s="418">
        <f>F114</f>
        <v>2000000</v>
      </c>
      <c r="H114" s="418">
        <f>G114*0%</f>
        <v>0</v>
      </c>
      <c r="I114" s="418">
        <f>(H114+G114)*10%</f>
        <v>200000</v>
      </c>
      <c r="J114" s="419">
        <f>H114+G114+I114</f>
        <v>2200000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s="65" customFormat="1" ht="21.75" customHeight="1">
      <c r="A115" s="263" t="s">
        <v>173</v>
      </c>
      <c r="B115" s="1047" t="s">
        <v>283</v>
      </c>
      <c r="C115" s="1061">
        <v>1</v>
      </c>
      <c r="D115" s="416">
        <v>7440000</v>
      </c>
      <c r="E115" s="415" t="s">
        <v>307</v>
      </c>
      <c r="F115" s="417">
        <f>C115*D115</f>
        <v>7440000</v>
      </c>
      <c r="G115" s="418">
        <f>F115</f>
        <v>7440000</v>
      </c>
      <c r="H115" s="418">
        <f>G115*0%</f>
        <v>0</v>
      </c>
      <c r="I115" s="418">
        <f>(H115+G115)*10%</f>
        <v>744000</v>
      </c>
      <c r="J115" s="419">
        <f>H115+G115+I115</f>
        <v>8184000</v>
      </c>
      <c r="K115" s="661"/>
      <c r="L115" s="661"/>
      <c r="M115" s="661"/>
      <c r="N115" s="661"/>
      <c r="O115" s="661"/>
      <c r="P115" s="661"/>
      <c r="Q115" s="661"/>
      <c r="R115" s="661"/>
      <c r="S115" s="661"/>
      <c r="T115" s="661"/>
      <c r="U115" s="661"/>
      <c r="V115" s="661"/>
      <c r="W115" s="661"/>
      <c r="X115" s="661"/>
      <c r="Y115" s="661"/>
      <c r="Z115" s="661"/>
      <c r="AA115" s="661"/>
      <c r="AB115" s="661"/>
      <c r="AC115" s="661"/>
      <c r="AD115" s="661"/>
      <c r="AE115" s="661"/>
      <c r="AF115" s="661"/>
      <c r="AG115" s="661"/>
      <c r="AH115" s="661"/>
      <c r="AI115" s="661"/>
      <c r="AJ115" s="661"/>
      <c r="AK115" s="661"/>
      <c r="AL115" s="661"/>
      <c r="AM115" s="661"/>
      <c r="AN115" s="661"/>
      <c r="AO115" s="661"/>
      <c r="AP115" s="661"/>
      <c r="AQ115" s="661"/>
      <c r="AR115" s="661"/>
      <c r="AS115" s="661"/>
      <c r="AT115" s="661"/>
      <c r="AU115" s="661"/>
      <c r="AV115" s="661"/>
      <c r="AW115" s="661"/>
      <c r="AX115" s="661"/>
      <c r="AY115" s="661"/>
      <c r="AZ115" s="661"/>
      <c r="BA115" s="661"/>
      <c r="BB115" s="661"/>
      <c r="BC115" s="661"/>
      <c r="BD115" s="661"/>
      <c r="BE115" s="661"/>
      <c r="BF115" s="661"/>
      <c r="BG115" s="661"/>
      <c r="BH115" s="661"/>
      <c r="BI115" s="661"/>
      <c r="BJ115" s="661"/>
      <c r="BK115" s="661"/>
      <c r="BL115" s="661"/>
    </row>
    <row r="116" spans="1:64" s="65" customFormat="1" ht="15" customHeight="1">
      <c r="A116" s="263"/>
      <c r="B116" s="420" t="s">
        <v>103</v>
      </c>
      <c r="C116" s="454"/>
      <c r="D116" s="421"/>
      <c r="E116" s="421"/>
      <c r="F116" s="421"/>
      <c r="G116" s="421"/>
      <c r="H116" s="421"/>
      <c r="I116" s="421"/>
      <c r="J116" s="422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s="65" customFormat="1" ht="15.75">
      <c r="A117" s="263" t="s">
        <v>174</v>
      </c>
      <c r="B117" s="1047" t="s">
        <v>229</v>
      </c>
      <c r="C117" s="1048">
        <f>9*10000</f>
        <v>90000</v>
      </c>
      <c r="D117" s="416">
        <v>50</v>
      </c>
      <c r="E117" s="415" t="s">
        <v>330</v>
      </c>
      <c r="F117" s="417">
        <f>C117*D117</f>
        <v>4500000</v>
      </c>
      <c r="G117" s="418">
        <f>F117</f>
        <v>4500000</v>
      </c>
      <c r="H117" s="418">
        <f>G117*0%</f>
        <v>0</v>
      </c>
      <c r="I117" s="418">
        <f>(H117+G117)*10%</f>
        <v>450000</v>
      </c>
      <c r="J117" s="419">
        <f>H117+G117+I117</f>
        <v>4950000</v>
      </c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</row>
    <row r="118" spans="1:64" s="65" customFormat="1" ht="15" customHeight="1">
      <c r="A118" s="263"/>
      <c r="B118" s="420" t="s">
        <v>107</v>
      </c>
      <c r="C118" s="454"/>
      <c r="D118" s="421"/>
      <c r="E118" s="421"/>
      <c r="F118" s="421"/>
      <c r="G118" s="421"/>
      <c r="H118" s="421"/>
      <c r="I118" s="421"/>
      <c r="J118" s="422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s="65" customFormat="1" ht="15.75">
      <c r="A119" s="263" t="s">
        <v>176</v>
      </c>
      <c r="B119" s="1047" t="s">
        <v>268</v>
      </c>
      <c r="C119" s="1048">
        <v>150</v>
      </c>
      <c r="D119" s="416">
        <v>85000</v>
      </c>
      <c r="E119" s="415" t="s">
        <v>381</v>
      </c>
      <c r="F119" s="417">
        <f>C119*D119</f>
        <v>12750000</v>
      </c>
      <c r="G119" s="418">
        <f>F119</f>
        <v>12750000</v>
      </c>
      <c r="H119" s="418">
        <f>G119*0%</f>
        <v>0</v>
      </c>
      <c r="I119" s="418">
        <f>(H119+G119)*10%</f>
        <v>1275000</v>
      </c>
      <c r="J119" s="419">
        <f>H119+G119+I119</f>
        <v>14025000</v>
      </c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</row>
    <row r="120" spans="1:64" s="65" customFormat="1" ht="15" customHeight="1">
      <c r="A120" s="263"/>
      <c r="B120" s="420" t="s">
        <v>7</v>
      </c>
      <c r="C120" s="454"/>
      <c r="D120" s="421"/>
      <c r="E120" s="421"/>
      <c r="F120" s="421"/>
      <c r="G120" s="421"/>
      <c r="H120" s="421"/>
      <c r="I120" s="421"/>
      <c r="J120" s="422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s="65" customFormat="1" ht="15.75">
      <c r="A121" s="263" t="s">
        <v>178</v>
      </c>
      <c r="B121" s="1047" t="s">
        <v>366</v>
      </c>
      <c r="C121" s="1048">
        <v>252</v>
      </c>
      <c r="D121" s="416">
        <v>105000</v>
      </c>
      <c r="E121" s="415" t="s">
        <v>180</v>
      </c>
      <c r="F121" s="417">
        <f>C121*D121</f>
        <v>26460000</v>
      </c>
      <c r="G121" s="418">
        <f>F121</f>
        <v>26460000</v>
      </c>
      <c r="H121" s="418">
        <f>G121*0%</f>
        <v>0</v>
      </c>
      <c r="I121" s="418">
        <f>(H121+G121)*10%</f>
        <v>2646000</v>
      </c>
      <c r="J121" s="419">
        <f>H121+G121+I121</f>
        <v>29106000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s="65" customFormat="1" ht="15.75">
      <c r="A122" s="263" t="s">
        <v>179</v>
      </c>
      <c r="B122" s="1047" t="s">
        <v>411</v>
      </c>
      <c r="C122" s="1048">
        <v>200</v>
      </c>
      <c r="D122" s="416">
        <v>105000</v>
      </c>
      <c r="E122" s="415" t="s">
        <v>180</v>
      </c>
      <c r="F122" s="417">
        <f>C122*D122</f>
        <v>21000000</v>
      </c>
      <c r="G122" s="418">
        <f>F122</f>
        <v>21000000</v>
      </c>
      <c r="H122" s="418">
        <f>G122*0%</f>
        <v>0</v>
      </c>
      <c r="I122" s="418">
        <f>(H122+G122)*10%</f>
        <v>2100000</v>
      </c>
      <c r="J122" s="419">
        <f>H122+G122+I122</f>
        <v>23100000</v>
      </c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</row>
    <row r="123" spans="1:64" s="65" customFormat="1" ht="15.75">
      <c r="A123" s="263" t="s">
        <v>181</v>
      </c>
      <c r="B123" s="1047" t="s">
        <v>412</v>
      </c>
      <c r="C123" s="1048">
        <v>131</v>
      </c>
      <c r="D123" s="416">
        <v>105000</v>
      </c>
      <c r="E123" s="415" t="s">
        <v>180</v>
      </c>
      <c r="F123" s="417">
        <f>C123*D123</f>
        <v>13755000</v>
      </c>
      <c r="G123" s="418">
        <f>F123</f>
        <v>13755000</v>
      </c>
      <c r="H123" s="418">
        <f>G123*0%</f>
        <v>0</v>
      </c>
      <c r="I123" s="418">
        <f>(H123+G123)*10%</f>
        <v>1375500</v>
      </c>
      <c r="J123" s="419">
        <f>H123+G123+I123</f>
        <v>15130500</v>
      </c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</row>
    <row r="124" spans="1:64" s="65" customFormat="1" ht="15.75">
      <c r="A124" s="263" t="s">
        <v>183</v>
      </c>
      <c r="B124" s="1047" t="s">
        <v>413</v>
      </c>
      <c r="C124" s="1048">
        <v>220</v>
      </c>
      <c r="D124" s="416">
        <v>105000</v>
      </c>
      <c r="E124" s="415" t="s">
        <v>180</v>
      </c>
      <c r="F124" s="417">
        <f>C124*D124</f>
        <v>23100000</v>
      </c>
      <c r="G124" s="418">
        <f>F124</f>
        <v>23100000</v>
      </c>
      <c r="H124" s="418">
        <f>G124*0%</f>
        <v>0</v>
      </c>
      <c r="I124" s="418">
        <f>(H124+G124)*10%</f>
        <v>2310000</v>
      </c>
      <c r="J124" s="419">
        <f>H124+G124+I124</f>
        <v>25410000</v>
      </c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</row>
    <row r="125" spans="1:64" s="64" customFormat="1" ht="15.75">
      <c r="A125" s="263" t="s">
        <v>185</v>
      </c>
      <c r="B125" s="1047" t="s">
        <v>250</v>
      </c>
      <c r="C125" s="1048">
        <v>44</v>
      </c>
      <c r="D125" s="416">
        <v>105000</v>
      </c>
      <c r="E125" s="415" t="s">
        <v>180</v>
      </c>
      <c r="F125" s="417">
        <f aca="true" t="shared" si="2" ref="F125:F135">C125*D125</f>
        <v>4620000</v>
      </c>
      <c r="G125" s="418">
        <f aca="true" t="shared" si="3" ref="G125:G135">F125</f>
        <v>4620000</v>
      </c>
      <c r="H125" s="418">
        <f aca="true" t="shared" si="4" ref="H125:H135">G125*0%</f>
        <v>0</v>
      </c>
      <c r="I125" s="418">
        <f aca="true" t="shared" si="5" ref="I125:I135">(H125+G125)*10%</f>
        <v>462000</v>
      </c>
      <c r="J125" s="419">
        <f aca="true" t="shared" si="6" ref="J125:J135">H125+G125+I125</f>
        <v>5082000</v>
      </c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</row>
    <row r="126" spans="1:64" s="64" customFormat="1" ht="15.75">
      <c r="A126" s="263" t="s">
        <v>188</v>
      </c>
      <c r="B126" s="1047" t="s">
        <v>414</v>
      </c>
      <c r="C126" s="1048">
        <v>150</v>
      </c>
      <c r="D126" s="416">
        <v>105000</v>
      </c>
      <c r="E126" s="415" t="s">
        <v>180</v>
      </c>
      <c r="F126" s="417">
        <f t="shared" si="2"/>
        <v>15750000</v>
      </c>
      <c r="G126" s="418">
        <f t="shared" si="3"/>
        <v>15750000</v>
      </c>
      <c r="H126" s="418">
        <f t="shared" si="4"/>
        <v>0</v>
      </c>
      <c r="I126" s="418">
        <f t="shared" si="5"/>
        <v>1575000</v>
      </c>
      <c r="J126" s="419">
        <f t="shared" si="6"/>
        <v>17325000</v>
      </c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</row>
    <row r="127" spans="1:64" s="64" customFormat="1" ht="15.75">
      <c r="A127" s="263" t="s">
        <v>189</v>
      </c>
      <c r="B127" s="1047" t="s">
        <v>433</v>
      </c>
      <c r="C127" s="1048">
        <v>244</v>
      </c>
      <c r="D127" s="416">
        <v>105000</v>
      </c>
      <c r="E127" s="415" t="s">
        <v>180</v>
      </c>
      <c r="F127" s="417">
        <f t="shared" si="2"/>
        <v>25620000</v>
      </c>
      <c r="G127" s="418">
        <f t="shared" si="3"/>
        <v>25620000</v>
      </c>
      <c r="H127" s="418">
        <f t="shared" si="4"/>
        <v>0</v>
      </c>
      <c r="I127" s="418">
        <f t="shared" si="5"/>
        <v>2562000</v>
      </c>
      <c r="J127" s="419">
        <f t="shared" si="6"/>
        <v>28182000</v>
      </c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</row>
    <row r="128" spans="1:64" s="65" customFormat="1" ht="15.75">
      <c r="A128" s="263" t="s">
        <v>190</v>
      </c>
      <c r="B128" s="1047" t="s">
        <v>416</v>
      </c>
      <c r="C128" s="1048">
        <v>211</v>
      </c>
      <c r="D128" s="416">
        <v>105000</v>
      </c>
      <c r="E128" s="415" t="s">
        <v>180</v>
      </c>
      <c r="F128" s="417">
        <f t="shared" si="2"/>
        <v>22155000</v>
      </c>
      <c r="G128" s="418">
        <f t="shared" si="3"/>
        <v>22155000</v>
      </c>
      <c r="H128" s="418">
        <f t="shared" si="4"/>
        <v>0</v>
      </c>
      <c r="I128" s="418">
        <f t="shared" si="5"/>
        <v>2215500</v>
      </c>
      <c r="J128" s="419">
        <f t="shared" si="6"/>
        <v>24370500</v>
      </c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</row>
    <row r="129" spans="1:64" s="65" customFormat="1" ht="15.75">
      <c r="A129" s="263" t="s">
        <v>191</v>
      </c>
      <c r="B129" s="1047" t="s">
        <v>45</v>
      </c>
      <c r="C129" s="1048">
        <v>4</v>
      </c>
      <c r="D129" s="416">
        <v>105000</v>
      </c>
      <c r="E129" s="415" t="s">
        <v>180</v>
      </c>
      <c r="F129" s="417">
        <f t="shared" si="2"/>
        <v>420000</v>
      </c>
      <c r="G129" s="418">
        <f t="shared" si="3"/>
        <v>420000</v>
      </c>
      <c r="H129" s="418">
        <f t="shared" si="4"/>
        <v>0</v>
      </c>
      <c r="I129" s="418">
        <f t="shared" si="5"/>
        <v>42000</v>
      </c>
      <c r="J129" s="419">
        <f t="shared" si="6"/>
        <v>462000</v>
      </c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</row>
    <row r="130" spans="1:64" s="65" customFormat="1" ht="15.75">
      <c r="A130" s="263" t="s">
        <v>193</v>
      </c>
      <c r="B130" s="1047" t="s">
        <v>46</v>
      </c>
      <c r="C130" s="1048">
        <v>17</v>
      </c>
      <c r="D130" s="416">
        <v>105000</v>
      </c>
      <c r="E130" s="415" t="s">
        <v>180</v>
      </c>
      <c r="F130" s="417">
        <f t="shared" si="2"/>
        <v>1785000</v>
      </c>
      <c r="G130" s="418">
        <f t="shared" si="3"/>
        <v>1785000</v>
      </c>
      <c r="H130" s="418">
        <f t="shared" si="4"/>
        <v>0</v>
      </c>
      <c r="I130" s="418">
        <f t="shared" si="5"/>
        <v>178500</v>
      </c>
      <c r="J130" s="419">
        <f t="shared" si="6"/>
        <v>1963500</v>
      </c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</row>
    <row r="131" spans="1:64" s="65" customFormat="1" ht="15.75">
      <c r="A131" s="263" t="s">
        <v>194</v>
      </c>
      <c r="B131" s="1047" t="s">
        <v>47</v>
      </c>
      <c r="C131" s="1048">
        <v>22</v>
      </c>
      <c r="D131" s="416">
        <v>105000</v>
      </c>
      <c r="E131" s="415" t="s">
        <v>180</v>
      </c>
      <c r="F131" s="417">
        <f t="shared" si="2"/>
        <v>2310000</v>
      </c>
      <c r="G131" s="418">
        <f t="shared" si="3"/>
        <v>2310000</v>
      </c>
      <c r="H131" s="418">
        <f t="shared" si="4"/>
        <v>0</v>
      </c>
      <c r="I131" s="418">
        <f t="shared" si="5"/>
        <v>231000</v>
      </c>
      <c r="J131" s="419">
        <f t="shared" si="6"/>
        <v>2541000</v>
      </c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</row>
    <row r="132" spans="1:64" s="65" customFormat="1" ht="15.75">
      <c r="A132" s="263" t="s">
        <v>195</v>
      </c>
      <c r="B132" s="1047" t="s">
        <v>48</v>
      </c>
      <c r="C132" s="1048">
        <v>11</v>
      </c>
      <c r="D132" s="416">
        <v>105000</v>
      </c>
      <c r="E132" s="415" t="s">
        <v>180</v>
      </c>
      <c r="F132" s="417">
        <f t="shared" si="2"/>
        <v>1155000</v>
      </c>
      <c r="G132" s="418">
        <f t="shared" si="3"/>
        <v>1155000</v>
      </c>
      <c r="H132" s="418">
        <f t="shared" si="4"/>
        <v>0</v>
      </c>
      <c r="I132" s="418">
        <f t="shared" si="5"/>
        <v>115500</v>
      </c>
      <c r="J132" s="419">
        <f t="shared" si="6"/>
        <v>1270500</v>
      </c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</row>
    <row r="133" spans="1:64" s="65" customFormat="1" ht="15.75">
      <c r="A133" s="263" t="s">
        <v>196</v>
      </c>
      <c r="B133" s="1047" t="s">
        <v>49</v>
      </c>
      <c r="C133" s="1048">
        <v>20</v>
      </c>
      <c r="D133" s="416">
        <v>105000</v>
      </c>
      <c r="E133" s="415" t="s">
        <v>180</v>
      </c>
      <c r="F133" s="417">
        <f t="shared" si="2"/>
        <v>2100000</v>
      </c>
      <c r="G133" s="418">
        <f t="shared" si="3"/>
        <v>2100000</v>
      </c>
      <c r="H133" s="418">
        <f t="shared" si="4"/>
        <v>0</v>
      </c>
      <c r="I133" s="418">
        <f t="shared" si="5"/>
        <v>210000</v>
      </c>
      <c r="J133" s="419">
        <f t="shared" si="6"/>
        <v>2310000</v>
      </c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</row>
    <row r="134" spans="1:64" s="65" customFormat="1" ht="15.75">
      <c r="A134" s="263" t="s">
        <v>197</v>
      </c>
      <c r="B134" s="1047" t="s">
        <v>50</v>
      </c>
      <c r="C134" s="1048">
        <v>15</v>
      </c>
      <c r="D134" s="416">
        <v>105000</v>
      </c>
      <c r="E134" s="415" t="s">
        <v>180</v>
      </c>
      <c r="F134" s="417">
        <f t="shared" si="2"/>
        <v>1575000</v>
      </c>
      <c r="G134" s="418">
        <f t="shared" si="3"/>
        <v>1575000</v>
      </c>
      <c r="H134" s="418">
        <f t="shared" si="4"/>
        <v>0</v>
      </c>
      <c r="I134" s="418">
        <f t="shared" si="5"/>
        <v>157500</v>
      </c>
      <c r="J134" s="419">
        <f t="shared" si="6"/>
        <v>1732500</v>
      </c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</row>
    <row r="135" spans="1:64" s="65" customFormat="1" ht="15.75">
      <c r="A135" s="263" t="s">
        <v>198</v>
      </c>
      <c r="B135" s="1047" t="s">
        <v>417</v>
      </c>
      <c r="C135" s="1048">
        <v>25</v>
      </c>
      <c r="D135" s="416">
        <v>105000</v>
      </c>
      <c r="E135" s="415" t="s">
        <v>180</v>
      </c>
      <c r="F135" s="417">
        <f t="shared" si="2"/>
        <v>2625000</v>
      </c>
      <c r="G135" s="418">
        <f t="shared" si="3"/>
        <v>2625000</v>
      </c>
      <c r="H135" s="418">
        <f t="shared" si="4"/>
        <v>0</v>
      </c>
      <c r="I135" s="418">
        <f t="shared" si="5"/>
        <v>262500</v>
      </c>
      <c r="J135" s="419">
        <f t="shared" si="6"/>
        <v>2887500</v>
      </c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</row>
    <row r="136" spans="1:64" s="65" customFormat="1" ht="15" customHeight="1">
      <c r="A136" s="263"/>
      <c r="B136" s="420" t="s">
        <v>10</v>
      </c>
      <c r="C136" s="454"/>
      <c r="D136" s="421"/>
      <c r="E136" s="421"/>
      <c r="F136" s="421"/>
      <c r="G136" s="421"/>
      <c r="H136" s="421"/>
      <c r="I136" s="421"/>
      <c r="J136" s="422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64" s="65" customFormat="1" ht="15.75">
      <c r="A137" s="263" t="s">
        <v>200</v>
      </c>
      <c r="B137" s="1047" t="s">
        <v>69</v>
      </c>
      <c r="C137" s="1048">
        <v>1000</v>
      </c>
      <c r="D137" s="416">
        <v>900</v>
      </c>
      <c r="E137" s="415" t="s">
        <v>192</v>
      </c>
      <c r="F137" s="417">
        <f>C137*D137</f>
        <v>900000</v>
      </c>
      <c r="G137" s="418">
        <f>F137</f>
        <v>900000</v>
      </c>
      <c r="H137" s="418">
        <f>G137*0%</f>
        <v>0</v>
      </c>
      <c r="I137" s="418">
        <f>(H137+G137)*10%</f>
        <v>90000</v>
      </c>
      <c r="J137" s="419">
        <f>H137+G137+I137</f>
        <v>990000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64" s="65" customFormat="1" ht="15.75">
      <c r="A138" s="263" t="s">
        <v>201</v>
      </c>
      <c r="B138" s="1047" t="s">
        <v>70</v>
      </c>
      <c r="C138" s="1048">
        <v>8000</v>
      </c>
      <c r="D138" s="416">
        <v>900</v>
      </c>
      <c r="E138" s="415" t="s">
        <v>192</v>
      </c>
      <c r="F138" s="417">
        <f>C138*D138</f>
        <v>7200000</v>
      </c>
      <c r="G138" s="418">
        <f>F138</f>
        <v>7200000</v>
      </c>
      <c r="H138" s="418">
        <f>G138*0%</f>
        <v>0</v>
      </c>
      <c r="I138" s="418">
        <f>(H138+G138)*10%</f>
        <v>720000</v>
      </c>
      <c r="J138" s="419">
        <f>H138+G138+I138</f>
        <v>7920000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64" s="64" customFormat="1" ht="15.75">
      <c r="A139" s="263" t="s">
        <v>202</v>
      </c>
      <c r="B139" s="1047" t="s">
        <v>31</v>
      </c>
      <c r="C139" s="1048">
        <v>3000</v>
      </c>
      <c r="D139" s="416">
        <v>900</v>
      </c>
      <c r="E139" s="415" t="s">
        <v>192</v>
      </c>
      <c r="F139" s="417">
        <f>C139*D139</f>
        <v>2700000</v>
      </c>
      <c r="G139" s="418">
        <f>F139</f>
        <v>2700000</v>
      </c>
      <c r="H139" s="418">
        <f>G139*0%</f>
        <v>0</v>
      </c>
      <c r="I139" s="418">
        <f>(H139+G139)*10%</f>
        <v>270000</v>
      </c>
      <c r="J139" s="419">
        <f>H139+G139+I139</f>
        <v>2970000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64" s="65" customFormat="1" ht="15.75">
      <c r="A140" s="263" t="s">
        <v>203</v>
      </c>
      <c r="B140" s="1047" t="s">
        <v>54</v>
      </c>
      <c r="C140" s="1048">
        <v>12000</v>
      </c>
      <c r="D140" s="416">
        <v>900</v>
      </c>
      <c r="E140" s="415" t="s">
        <v>192</v>
      </c>
      <c r="F140" s="417">
        <v>10800000</v>
      </c>
      <c r="G140" s="418">
        <v>10800000</v>
      </c>
      <c r="H140" s="418">
        <v>0</v>
      </c>
      <c r="I140" s="418">
        <v>1080000</v>
      </c>
      <c r="J140" s="419">
        <v>11880000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64" s="65" customFormat="1" ht="15.75">
      <c r="A141" s="263" t="s">
        <v>204</v>
      </c>
      <c r="B141" s="1047" t="s">
        <v>57</v>
      </c>
      <c r="C141" s="1048">
        <v>9000</v>
      </c>
      <c r="D141" s="416">
        <v>900</v>
      </c>
      <c r="E141" s="415" t="s">
        <v>192</v>
      </c>
      <c r="F141" s="417">
        <v>8100000</v>
      </c>
      <c r="G141" s="418">
        <v>8100000</v>
      </c>
      <c r="H141" s="418">
        <v>0</v>
      </c>
      <c r="I141" s="418">
        <v>810000</v>
      </c>
      <c r="J141" s="419">
        <v>8910000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64" s="65" customFormat="1" ht="15" customHeight="1">
      <c r="A142" s="263"/>
      <c r="B142" s="420" t="s">
        <v>12</v>
      </c>
      <c r="C142" s="454"/>
      <c r="D142" s="421"/>
      <c r="E142" s="421"/>
      <c r="F142" s="421"/>
      <c r="G142" s="421"/>
      <c r="H142" s="421"/>
      <c r="I142" s="421"/>
      <c r="J142" s="42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1:64" s="65" customFormat="1" ht="15.75">
      <c r="A143" s="263" t="s">
        <v>205</v>
      </c>
      <c r="B143" s="1047" t="s">
        <v>434</v>
      </c>
      <c r="C143" s="1048">
        <v>1000</v>
      </c>
      <c r="D143" s="416">
        <v>1800</v>
      </c>
      <c r="E143" s="415" t="s">
        <v>199</v>
      </c>
      <c r="F143" s="417">
        <f>C143*D143</f>
        <v>1800000</v>
      </c>
      <c r="G143" s="418">
        <f>F143</f>
        <v>1800000</v>
      </c>
      <c r="H143" s="418">
        <f>G143*0%</f>
        <v>0</v>
      </c>
      <c r="I143" s="418">
        <f>(H143+G143)*10%</f>
        <v>180000</v>
      </c>
      <c r="J143" s="419">
        <f>H143+G143+I143</f>
        <v>1980000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1:64" s="65" customFormat="1" ht="15.75">
      <c r="A144" s="263" t="s">
        <v>206</v>
      </c>
      <c r="B144" s="1047" t="s">
        <v>435</v>
      </c>
      <c r="C144" s="1048">
        <v>2000</v>
      </c>
      <c r="D144" s="416">
        <v>1800</v>
      </c>
      <c r="E144" s="415" t="s">
        <v>199</v>
      </c>
      <c r="F144" s="417">
        <f>C144*D144</f>
        <v>3600000</v>
      </c>
      <c r="G144" s="418">
        <f>F144</f>
        <v>3600000</v>
      </c>
      <c r="H144" s="418">
        <f>G144*0%</f>
        <v>0</v>
      </c>
      <c r="I144" s="418">
        <f>(H144+G144)*10%</f>
        <v>360000</v>
      </c>
      <c r="J144" s="419">
        <f>H144+G144+I144</f>
        <v>3960000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</row>
    <row r="145" spans="1:64" s="825" customFormat="1" ht="15.75">
      <c r="A145" s="816" t="s">
        <v>207</v>
      </c>
      <c r="B145" s="1062" t="s">
        <v>436</v>
      </c>
      <c r="C145" s="1063">
        <v>0</v>
      </c>
      <c r="D145" s="819">
        <v>1800</v>
      </c>
      <c r="E145" s="820" t="s">
        <v>446</v>
      </c>
      <c r="F145" s="821">
        <f>C145*D145</f>
        <v>0</v>
      </c>
      <c r="G145" s="822">
        <f>F145</f>
        <v>0</v>
      </c>
      <c r="H145" s="822">
        <f>G145*0%</f>
        <v>0</v>
      </c>
      <c r="I145" s="822">
        <f>(H145+G145)*10%</f>
        <v>0</v>
      </c>
      <c r="J145" s="823">
        <f>H145+G145+I145</f>
        <v>0</v>
      </c>
      <c r="K145" s="824"/>
      <c r="L145" s="824"/>
      <c r="M145" s="824"/>
      <c r="N145" s="824"/>
      <c r="O145" s="824"/>
      <c r="P145" s="824"/>
      <c r="Q145" s="824"/>
      <c r="R145" s="824"/>
      <c r="S145" s="824"/>
      <c r="T145" s="824"/>
      <c r="U145" s="824"/>
      <c r="V145" s="824"/>
      <c r="W145" s="824"/>
      <c r="X145" s="824"/>
      <c r="Y145" s="824"/>
      <c r="Z145" s="824"/>
      <c r="AA145" s="824"/>
      <c r="AB145" s="824"/>
      <c r="AC145" s="824"/>
      <c r="AD145" s="824"/>
      <c r="AE145" s="824"/>
      <c r="AF145" s="824"/>
      <c r="AG145" s="824"/>
      <c r="AH145" s="824"/>
      <c r="AI145" s="824"/>
      <c r="AJ145" s="824"/>
      <c r="AK145" s="824"/>
      <c r="AL145" s="824"/>
      <c r="AM145" s="824"/>
      <c r="AN145" s="824"/>
      <c r="AO145" s="824"/>
      <c r="AP145" s="824"/>
      <c r="AQ145" s="824"/>
      <c r="AR145" s="824"/>
      <c r="AS145" s="824"/>
      <c r="AT145" s="824"/>
      <c r="AU145" s="824"/>
      <c r="AV145" s="824"/>
      <c r="AW145" s="824"/>
      <c r="AX145" s="824"/>
      <c r="AY145" s="824"/>
      <c r="AZ145" s="824"/>
      <c r="BA145" s="824"/>
      <c r="BB145" s="824"/>
      <c r="BC145" s="824"/>
      <c r="BD145" s="824"/>
      <c r="BE145" s="824"/>
      <c r="BF145" s="824"/>
      <c r="BG145" s="824"/>
      <c r="BH145" s="824"/>
      <c r="BI145" s="824"/>
      <c r="BJ145" s="824"/>
      <c r="BK145" s="824"/>
      <c r="BL145" s="824"/>
    </row>
    <row r="146" spans="1:64" s="64" customFormat="1" ht="15.75">
      <c r="A146" s="263" t="s">
        <v>208</v>
      </c>
      <c r="B146" s="1047" t="s">
        <v>271</v>
      </c>
      <c r="C146" s="1048">
        <v>1000</v>
      </c>
      <c r="D146" s="416">
        <v>1800</v>
      </c>
      <c r="E146" s="415" t="s">
        <v>199</v>
      </c>
      <c r="F146" s="417">
        <f>C146*D146</f>
        <v>1800000</v>
      </c>
      <c r="G146" s="418">
        <f>F146</f>
        <v>1800000</v>
      </c>
      <c r="H146" s="418">
        <f>G146*0%</f>
        <v>0</v>
      </c>
      <c r="I146" s="418">
        <f>(H146+G146)*10%</f>
        <v>180000</v>
      </c>
      <c r="J146" s="419">
        <f>H146+G146+I146</f>
        <v>1980000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</row>
    <row r="147" spans="1:64" s="65" customFormat="1" ht="15.75">
      <c r="A147" s="263" t="s">
        <v>209</v>
      </c>
      <c r="B147" s="1047" t="s">
        <v>57</v>
      </c>
      <c r="C147" s="1048">
        <v>9000</v>
      </c>
      <c r="D147" s="416">
        <v>1800</v>
      </c>
      <c r="E147" s="415" t="s">
        <v>199</v>
      </c>
      <c r="F147" s="417">
        <f>C147*D147</f>
        <v>16200000</v>
      </c>
      <c r="G147" s="418">
        <f>F147</f>
        <v>16200000</v>
      </c>
      <c r="H147" s="418">
        <f>G147*0%</f>
        <v>0</v>
      </c>
      <c r="I147" s="418">
        <f>(H147+G147)*10%</f>
        <v>1620000</v>
      </c>
      <c r="J147" s="419">
        <f>H147+G147+I147</f>
        <v>17820000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</row>
    <row r="148" spans="1:64" s="64" customFormat="1" ht="15.75">
      <c r="A148" s="263"/>
      <c r="B148" s="420" t="s">
        <v>5</v>
      </c>
      <c r="C148" s="453"/>
      <c r="D148" s="416"/>
      <c r="E148" s="415"/>
      <c r="F148" s="417"/>
      <c r="G148" s="418"/>
      <c r="H148" s="418"/>
      <c r="I148" s="418"/>
      <c r="J148" s="419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</row>
    <row r="149" spans="1:64" s="64" customFormat="1" ht="15.75">
      <c r="A149" s="263" t="s">
        <v>213</v>
      </c>
      <c r="B149" s="1047" t="s">
        <v>428</v>
      </c>
      <c r="C149" s="1048">
        <v>1000</v>
      </c>
      <c r="D149" s="416">
        <v>800</v>
      </c>
      <c r="E149" s="415" t="s">
        <v>212</v>
      </c>
      <c r="F149" s="417">
        <f>C149*D149</f>
        <v>800000</v>
      </c>
      <c r="G149" s="418">
        <f>F149</f>
        <v>800000</v>
      </c>
      <c r="H149" s="418">
        <f>G149*0%</f>
        <v>0</v>
      </c>
      <c r="I149" s="418">
        <f>(H149+G149)*10%</f>
        <v>80000</v>
      </c>
      <c r="J149" s="419">
        <f>H149+G149+I149</f>
        <v>880000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</row>
    <row r="150" spans="1:64" s="65" customFormat="1" ht="15" customHeight="1">
      <c r="A150" s="263"/>
      <c r="B150" s="420" t="s">
        <v>9</v>
      </c>
      <c r="C150" s="454"/>
      <c r="D150" s="421"/>
      <c r="E150" s="421"/>
      <c r="F150" s="421"/>
      <c r="G150" s="421"/>
      <c r="H150" s="421"/>
      <c r="I150" s="421"/>
      <c r="J150" s="422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</row>
    <row r="151" spans="1:64" s="65" customFormat="1" ht="15.75">
      <c r="A151" s="263" t="s">
        <v>214</v>
      </c>
      <c r="B151" s="1047" t="s">
        <v>437</v>
      </c>
      <c r="C151" s="1048">
        <v>1000</v>
      </c>
      <c r="D151" s="416">
        <v>650</v>
      </c>
      <c r="E151" s="415" t="s">
        <v>210</v>
      </c>
      <c r="F151" s="417">
        <f>C151*D151</f>
        <v>650000</v>
      </c>
      <c r="G151" s="418">
        <f>F151</f>
        <v>650000</v>
      </c>
      <c r="H151" s="418">
        <f>G151*0%</f>
        <v>0</v>
      </c>
      <c r="I151" s="418">
        <f>(H151+G151)*10%</f>
        <v>65000</v>
      </c>
      <c r="J151" s="419">
        <f>H151+G151+I151</f>
        <v>715000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</row>
    <row r="152" spans="1:64" s="64" customFormat="1" ht="15.75">
      <c r="A152" s="263" t="s">
        <v>326</v>
      </c>
      <c r="B152" s="1047" t="s">
        <v>39</v>
      </c>
      <c r="C152" s="1048">
        <v>1000</v>
      </c>
      <c r="D152" s="416">
        <v>650</v>
      </c>
      <c r="E152" s="415" t="s">
        <v>210</v>
      </c>
      <c r="F152" s="417">
        <f>C152*D152</f>
        <v>650000</v>
      </c>
      <c r="G152" s="418">
        <f>F152</f>
        <v>650000</v>
      </c>
      <c r="H152" s="418">
        <f>G152*0%</f>
        <v>0</v>
      </c>
      <c r="I152" s="418">
        <f>(H152+G152)*10%</f>
        <v>65000</v>
      </c>
      <c r="J152" s="419">
        <f>H152+G152+I152</f>
        <v>715000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</row>
    <row r="153" spans="1:64" s="65" customFormat="1" ht="15.75">
      <c r="A153" s="263" t="s">
        <v>327</v>
      </c>
      <c r="B153" s="1047" t="s">
        <v>61</v>
      </c>
      <c r="C153" s="1048">
        <v>10000</v>
      </c>
      <c r="D153" s="416">
        <v>650</v>
      </c>
      <c r="E153" s="415" t="s">
        <v>210</v>
      </c>
      <c r="F153" s="417">
        <f>C153*D153</f>
        <v>6500000</v>
      </c>
      <c r="G153" s="418">
        <f>F153</f>
        <v>6500000</v>
      </c>
      <c r="H153" s="418">
        <f>G153*0%</f>
        <v>0</v>
      </c>
      <c r="I153" s="418">
        <f>(H153+G153)*10%</f>
        <v>650000</v>
      </c>
      <c r="J153" s="419">
        <f>H153+G153+I153</f>
        <v>7150000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</row>
    <row r="154" spans="1:64" s="826" customFormat="1" ht="15" customHeight="1">
      <c r="A154" s="816"/>
      <c r="B154" s="1105" t="s">
        <v>230</v>
      </c>
      <c r="C154" s="1106"/>
      <c r="D154" s="1065"/>
      <c r="E154" s="1065"/>
      <c r="F154" s="1065"/>
      <c r="G154" s="1065"/>
      <c r="H154" s="1065"/>
      <c r="I154" s="1065"/>
      <c r="J154" s="1066"/>
      <c r="K154" s="824"/>
      <c r="L154" s="824"/>
      <c r="M154" s="824"/>
      <c r="N154" s="824"/>
      <c r="O154" s="824"/>
      <c r="P154" s="824"/>
      <c r="Q154" s="824"/>
      <c r="R154" s="824"/>
      <c r="S154" s="824"/>
      <c r="T154" s="824"/>
      <c r="U154" s="824"/>
      <c r="V154" s="824"/>
      <c r="W154" s="824"/>
      <c r="X154" s="824"/>
      <c r="Y154" s="824"/>
      <c r="Z154" s="824"/>
      <c r="AA154" s="824"/>
      <c r="AB154" s="824"/>
      <c r="AC154" s="824"/>
      <c r="AD154" s="824"/>
      <c r="AE154" s="824"/>
      <c r="AF154" s="824"/>
      <c r="AG154" s="824"/>
      <c r="AH154" s="824"/>
      <c r="AI154" s="824"/>
      <c r="AJ154" s="824"/>
      <c r="AK154" s="824"/>
      <c r="AL154" s="824"/>
      <c r="AM154" s="824"/>
      <c r="AN154" s="824"/>
      <c r="AO154" s="824"/>
      <c r="AP154" s="824"/>
      <c r="AQ154" s="824"/>
      <c r="AR154" s="824"/>
      <c r="AS154" s="824"/>
      <c r="AT154" s="824"/>
      <c r="AU154" s="824"/>
      <c r="AV154" s="824"/>
      <c r="AW154" s="824"/>
      <c r="AX154" s="824"/>
      <c r="AY154" s="824"/>
      <c r="AZ154" s="824"/>
      <c r="BA154" s="824"/>
      <c r="BB154" s="824"/>
      <c r="BC154" s="824"/>
      <c r="BD154" s="824"/>
      <c r="BE154" s="824"/>
      <c r="BF154" s="824"/>
      <c r="BG154" s="824"/>
      <c r="BH154" s="824"/>
      <c r="BI154" s="824"/>
      <c r="BJ154" s="824"/>
      <c r="BK154" s="824"/>
      <c r="BL154" s="824"/>
    </row>
    <row r="155" spans="1:64" s="826" customFormat="1" ht="15.75">
      <c r="A155" s="816" t="s">
        <v>328</v>
      </c>
      <c r="B155" s="1062" t="s">
        <v>111</v>
      </c>
      <c r="C155" s="1063"/>
      <c r="D155" s="819"/>
      <c r="E155" s="820" t="s">
        <v>382</v>
      </c>
      <c r="F155" s="821"/>
      <c r="G155" s="822"/>
      <c r="H155" s="822"/>
      <c r="I155" s="822"/>
      <c r="J155" s="823">
        <v>3896998</v>
      </c>
      <c r="K155" s="824"/>
      <c r="L155" s="824"/>
      <c r="M155" s="824"/>
      <c r="N155" s="824"/>
      <c r="O155" s="824"/>
      <c r="P155" s="824"/>
      <c r="Q155" s="824"/>
      <c r="R155" s="824"/>
      <c r="S155" s="824"/>
      <c r="T155" s="824"/>
      <c r="U155" s="824"/>
      <c r="V155" s="824"/>
      <c r="W155" s="824"/>
      <c r="X155" s="824"/>
      <c r="Y155" s="824"/>
      <c r="Z155" s="824"/>
      <c r="AA155" s="824"/>
      <c r="AB155" s="824"/>
      <c r="AC155" s="824"/>
      <c r="AD155" s="824"/>
      <c r="AE155" s="824"/>
      <c r="AF155" s="824"/>
      <c r="AG155" s="824"/>
      <c r="AH155" s="824"/>
      <c r="AI155" s="824"/>
      <c r="AJ155" s="824"/>
      <c r="AK155" s="824"/>
      <c r="AL155" s="824"/>
      <c r="AM155" s="824"/>
      <c r="AN155" s="824"/>
      <c r="AO155" s="824"/>
      <c r="AP155" s="824"/>
      <c r="AQ155" s="824"/>
      <c r="AR155" s="824"/>
      <c r="AS155" s="824"/>
      <c r="AT155" s="824"/>
      <c r="AU155" s="824"/>
      <c r="AV155" s="824"/>
      <c r="AW155" s="824"/>
      <c r="AX155" s="824"/>
      <c r="AY155" s="824"/>
      <c r="AZ155" s="824"/>
      <c r="BA155" s="824"/>
      <c r="BB155" s="824"/>
      <c r="BC155" s="824"/>
      <c r="BD155" s="824"/>
      <c r="BE155" s="824"/>
      <c r="BF155" s="824"/>
      <c r="BG155" s="824"/>
      <c r="BH155" s="824"/>
      <c r="BI155" s="824"/>
      <c r="BJ155" s="824"/>
      <c r="BK155" s="824"/>
      <c r="BL155" s="824"/>
    </row>
    <row r="156" spans="1:64" s="826" customFormat="1" ht="15.75">
      <c r="A156" s="816" t="s">
        <v>329</v>
      </c>
      <c r="B156" s="1062" t="s">
        <v>112</v>
      </c>
      <c r="C156" s="1063"/>
      <c r="D156" s="819"/>
      <c r="E156" s="820" t="s">
        <v>219</v>
      </c>
      <c r="F156" s="821"/>
      <c r="G156" s="822"/>
      <c r="H156" s="822"/>
      <c r="I156" s="822"/>
      <c r="J156" s="823">
        <v>6973182</v>
      </c>
      <c r="K156" s="824"/>
      <c r="L156" s="824"/>
      <c r="M156" s="824"/>
      <c r="N156" s="824"/>
      <c r="O156" s="824"/>
      <c r="P156" s="824"/>
      <c r="Q156" s="824"/>
      <c r="R156" s="824"/>
      <c r="S156" s="824"/>
      <c r="T156" s="824"/>
      <c r="U156" s="824"/>
      <c r="V156" s="824"/>
      <c r="W156" s="824"/>
      <c r="X156" s="824"/>
      <c r="Y156" s="824"/>
      <c r="Z156" s="824"/>
      <c r="AA156" s="824"/>
      <c r="AB156" s="824"/>
      <c r="AC156" s="824"/>
      <c r="AD156" s="824"/>
      <c r="AE156" s="824"/>
      <c r="AF156" s="824"/>
      <c r="AG156" s="824"/>
      <c r="AH156" s="824"/>
      <c r="AI156" s="824"/>
      <c r="AJ156" s="824"/>
      <c r="AK156" s="824"/>
      <c r="AL156" s="824"/>
      <c r="AM156" s="824"/>
      <c r="AN156" s="824"/>
      <c r="AO156" s="824"/>
      <c r="AP156" s="824"/>
      <c r="AQ156" s="824"/>
      <c r="AR156" s="824"/>
      <c r="AS156" s="824"/>
      <c r="AT156" s="824"/>
      <c r="AU156" s="824"/>
      <c r="AV156" s="824"/>
      <c r="AW156" s="824"/>
      <c r="AX156" s="824"/>
      <c r="AY156" s="824"/>
      <c r="AZ156" s="824"/>
      <c r="BA156" s="824"/>
      <c r="BB156" s="824"/>
      <c r="BC156" s="824"/>
      <c r="BD156" s="824"/>
      <c r="BE156" s="824"/>
      <c r="BF156" s="824"/>
      <c r="BG156" s="824"/>
      <c r="BH156" s="824"/>
      <c r="BI156" s="824"/>
      <c r="BJ156" s="824"/>
      <c r="BK156" s="824"/>
      <c r="BL156" s="824"/>
    </row>
    <row r="157" spans="1:64" s="826" customFormat="1" ht="15.75">
      <c r="A157" s="816" t="s">
        <v>355</v>
      </c>
      <c r="B157" s="1062" t="s">
        <v>113</v>
      </c>
      <c r="C157" s="1063"/>
      <c r="D157" s="819"/>
      <c r="E157" s="820" t="s">
        <v>219</v>
      </c>
      <c r="F157" s="821"/>
      <c r="G157" s="822"/>
      <c r="H157" s="822"/>
      <c r="I157" s="822"/>
      <c r="J157" s="823">
        <v>9993540</v>
      </c>
      <c r="K157" s="824"/>
      <c r="L157" s="824"/>
      <c r="M157" s="824"/>
      <c r="N157" s="824"/>
      <c r="O157" s="824"/>
      <c r="P157" s="824"/>
      <c r="Q157" s="824"/>
      <c r="R157" s="824"/>
      <c r="S157" s="824"/>
      <c r="T157" s="824"/>
      <c r="U157" s="824"/>
      <c r="V157" s="824"/>
      <c r="W157" s="824"/>
      <c r="X157" s="824"/>
      <c r="Y157" s="824"/>
      <c r="Z157" s="824"/>
      <c r="AA157" s="824"/>
      <c r="AB157" s="824"/>
      <c r="AC157" s="824"/>
      <c r="AD157" s="824"/>
      <c r="AE157" s="824"/>
      <c r="AF157" s="824"/>
      <c r="AG157" s="824"/>
      <c r="AH157" s="824"/>
      <c r="AI157" s="824"/>
      <c r="AJ157" s="824"/>
      <c r="AK157" s="824"/>
      <c r="AL157" s="824"/>
      <c r="AM157" s="824"/>
      <c r="AN157" s="824"/>
      <c r="AO157" s="824"/>
      <c r="AP157" s="824"/>
      <c r="AQ157" s="824"/>
      <c r="AR157" s="824"/>
      <c r="AS157" s="824"/>
      <c r="AT157" s="824"/>
      <c r="AU157" s="824"/>
      <c r="AV157" s="824"/>
      <c r="AW157" s="824"/>
      <c r="AX157" s="824"/>
      <c r="AY157" s="824"/>
      <c r="AZ157" s="824"/>
      <c r="BA157" s="824"/>
      <c r="BB157" s="824"/>
      <c r="BC157" s="824"/>
      <c r="BD157" s="824"/>
      <c r="BE157" s="824"/>
      <c r="BF157" s="824"/>
      <c r="BG157" s="824"/>
      <c r="BH157" s="824"/>
      <c r="BI157" s="824"/>
      <c r="BJ157" s="824"/>
      <c r="BK157" s="824"/>
      <c r="BL157" s="824"/>
    </row>
    <row r="158" spans="1:64" s="825" customFormat="1" ht="15.75">
      <c r="A158" s="816" t="s">
        <v>356</v>
      </c>
      <c r="B158" s="1062" t="s">
        <v>267</v>
      </c>
      <c r="C158" s="1063">
        <v>1</v>
      </c>
      <c r="D158" s="819">
        <v>10000000</v>
      </c>
      <c r="E158" s="820" t="s">
        <v>225</v>
      </c>
      <c r="F158" s="821">
        <f>C158*D158</f>
        <v>10000000</v>
      </c>
      <c r="G158" s="822">
        <f>F158</f>
        <v>10000000</v>
      </c>
      <c r="H158" s="822">
        <f>G158*0%</f>
        <v>0</v>
      </c>
      <c r="I158" s="822">
        <f>(H158+G158)*10%</f>
        <v>1000000</v>
      </c>
      <c r="J158" s="827">
        <f>H158+G158+I158</f>
        <v>11000000</v>
      </c>
      <c r="K158" s="824"/>
      <c r="L158" s="824"/>
      <c r="M158" s="824"/>
      <c r="N158" s="824"/>
      <c r="O158" s="824"/>
      <c r="P158" s="824"/>
      <c r="Q158" s="824"/>
      <c r="R158" s="824"/>
      <c r="S158" s="824"/>
      <c r="T158" s="824"/>
      <c r="U158" s="824"/>
      <c r="V158" s="824"/>
      <c r="W158" s="824"/>
      <c r="X158" s="824"/>
      <c r="Y158" s="824"/>
      <c r="Z158" s="824"/>
      <c r="AA158" s="824"/>
      <c r="AB158" s="824"/>
      <c r="AC158" s="824"/>
      <c r="AD158" s="824"/>
      <c r="AE158" s="824"/>
      <c r="AF158" s="824"/>
      <c r="AG158" s="824"/>
      <c r="AH158" s="824"/>
      <c r="AI158" s="824"/>
      <c r="AJ158" s="824"/>
      <c r="AK158" s="824"/>
      <c r="AL158" s="824"/>
      <c r="AM158" s="824"/>
      <c r="AN158" s="824"/>
      <c r="AO158" s="824"/>
      <c r="AP158" s="824"/>
      <c r="AQ158" s="824"/>
      <c r="AR158" s="824"/>
      <c r="AS158" s="824"/>
      <c r="AT158" s="824"/>
      <c r="AU158" s="824"/>
      <c r="AV158" s="824"/>
      <c r="AW158" s="824"/>
      <c r="AX158" s="824"/>
      <c r="AY158" s="824"/>
      <c r="AZ158" s="824"/>
      <c r="BA158" s="824"/>
      <c r="BB158" s="824"/>
      <c r="BC158" s="824"/>
      <c r="BD158" s="824"/>
      <c r="BE158" s="824"/>
      <c r="BF158" s="824"/>
      <c r="BG158" s="824"/>
      <c r="BH158" s="824"/>
      <c r="BI158" s="824"/>
      <c r="BJ158" s="824"/>
      <c r="BK158" s="824"/>
      <c r="BL158" s="824"/>
    </row>
    <row r="159" spans="1:64" s="826" customFormat="1" ht="15" customHeight="1">
      <c r="A159" s="816"/>
      <c r="B159" s="828" t="s">
        <v>114</v>
      </c>
      <c r="C159" s="818"/>
      <c r="D159" s="819"/>
      <c r="E159" s="820"/>
      <c r="F159" s="821"/>
      <c r="G159" s="822"/>
      <c r="H159" s="822"/>
      <c r="I159" s="822"/>
      <c r="J159" s="823"/>
      <c r="K159" s="824"/>
      <c r="L159" s="824"/>
      <c r="M159" s="824"/>
      <c r="N159" s="824"/>
      <c r="O159" s="824"/>
      <c r="P159" s="824"/>
      <c r="Q159" s="824"/>
      <c r="R159" s="824"/>
      <c r="S159" s="824"/>
      <c r="T159" s="824"/>
      <c r="U159" s="824"/>
      <c r="V159" s="824"/>
      <c r="W159" s="824"/>
      <c r="X159" s="824"/>
      <c r="Y159" s="824"/>
      <c r="Z159" s="824"/>
      <c r="AA159" s="824"/>
      <c r="AB159" s="824"/>
      <c r="AC159" s="824"/>
      <c r="AD159" s="824"/>
      <c r="AE159" s="824"/>
      <c r="AF159" s="824"/>
      <c r="AG159" s="824"/>
      <c r="AH159" s="824"/>
      <c r="AI159" s="824"/>
      <c r="AJ159" s="824"/>
      <c r="AK159" s="824"/>
      <c r="AL159" s="824"/>
      <c r="AM159" s="824"/>
      <c r="AN159" s="824"/>
      <c r="AO159" s="824"/>
      <c r="AP159" s="824"/>
      <c r="AQ159" s="824"/>
      <c r="AR159" s="824"/>
      <c r="AS159" s="824"/>
      <c r="AT159" s="824"/>
      <c r="AU159" s="824"/>
      <c r="AV159" s="824"/>
      <c r="AW159" s="824"/>
      <c r="AX159" s="824"/>
      <c r="AY159" s="824"/>
      <c r="AZ159" s="824"/>
      <c r="BA159" s="824"/>
      <c r="BB159" s="824"/>
      <c r="BC159" s="824"/>
      <c r="BD159" s="824"/>
      <c r="BE159" s="824"/>
      <c r="BF159" s="824"/>
      <c r="BG159" s="824"/>
      <c r="BH159" s="824"/>
      <c r="BI159" s="824"/>
      <c r="BJ159" s="824"/>
      <c r="BK159" s="824"/>
      <c r="BL159" s="824"/>
    </row>
    <row r="160" spans="1:64" s="826" customFormat="1" ht="15.75">
      <c r="A160" s="816" t="s">
        <v>357</v>
      </c>
      <c r="B160" s="1062" t="s">
        <v>114</v>
      </c>
      <c r="C160" s="1063"/>
      <c r="D160" s="819"/>
      <c r="E160" s="820" t="s">
        <v>259</v>
      </c>
      <c r="F160" s="821"/>
      <c r="G160" s="822"/>
      <c r="H160" s="822"/>
      <c r="I160" s="822"/>
      <c r="J160" s="823">
        <v>13150000</v>
      </c>
      <c r="K160" s="824"/>
      <c r="L160" s="824"/>
      <c r="M160" s="824"/>
      <c r="N160" s="824"/>
      <c r="O160" s="824"/>
      <c r="P160" s="824"/>
      <c r="Q160" s="824"/>
      <c r="R160" s="824"/>
      <c r="S160" s="824"/>
      <c r="T160" s="824"/>
      <c r="U160" s="824"/>
      <c r="V160" s="824"/>
      <c r="W160" s="824"/>
      <c r="X160" s="824"/>
      <c r="Y160" s="824"/>
      <c r="Z160" s="824"/>
      <c r="AA160" s="824"/>
      <c r="AB160" s="824"/>
      <c r="AC160" s="824"/>
      <c r="AD160" s="824"/>
      <c r="AE160" s="824"/>
      <c r="AF160" s="824"/>
      <c r="AG160" s="824"/>
      <c r="AH160" s="824"/>
      <c r="AI160" s="824"/>
      <c r="AJ160" s="824"/>
      <c r="AK160" s="824"/>
      <c r="AL160" s="824"/>
      <c r="AM160" s="824"/>
      <c r="AN160" s="824"/>
      <c r="AO160" s="824"/>
      <c r="AP160" s="824"/>
      <c r="AQ160" s="824"/>
      <c r="AR160" s="824"/>
      <c r="AS160" s="824"/>
      <c r="AT160" s="824"/>
      <c r="AU160" s="824"/>
      <c r="AV160" s="824"/>
      <c r="AW160" s="824"/>
      <c r="AX160" s="824"/>
      <c r="AY160" s="824"/>
      <c r="AZ160" s="824"/>
      <c r="BA160" s="824"/>
      <c r="BB160" s="824"/>
      <c r="BC160" s="824"/>
      <c r="BD160" s="824"/>
      <c r="BE160" s="824"/>
      <c r="BF160" s="824"/>
      <c r="BG160" s="824"/>
      <c r="BH160" s="824"/>
      <c r="BI160" s="824"/>
      <c r="BJ160" s="824"/>
      <c r="BK160" s="824"/>
      <c r="BL160" s="824"/>
    </row>
    <row r="161" spans="1:64" s="826" customFormat="1" ht="15" customHeight="1">
      <c r="A161" s="816"/>
      <c r="B161" s="828" t="s">
        <v>363</v>
      </c>
      <c r="C161" s="818"/>
      <c r="D161" s="819"/>
      <c r="E161" s="820"/>
      <c r="F161" s="821"/>
      <c r="G161" s="822"/>
      <c r="H161" s="822"/>
      <c r="I161" s="822"/>
      <c r="J161" s="823"/>
      <c r="K161" s="824"/>
      <c r="L161" s="824"/>
      <c r="M161" s="824"/>
      <c r="N161" s="824"/>
      <c r="O161" s="824"/>
      <c r="P161" s="824"/>
      <c r="Q161" s="824"/>
      <c r="R161" s="824"/>
      <c r="S161" s="824"/>
      <c r="T161" s="824"/>
      <c r="U161" s="824"/>
      <c r="V161" s="824"/>
      <c r="W161" s="824"/>
      <c r="X161" s="824"/>
      <c r="Y161" s="824"/>
      <c r="Z161" s="824"/>
      <c r="AA161" s="824"/>
      <c r="AB161" s="824"/>
      <c r="AC161" s="824"/>
      <c r="AD161" s="824"/>
      <c r="AE161" s="824"/>
      <c r="AF161" s="824"/>
      <c r="AG161" s="824"/>
      <c r="AH161" s="824"/>
      <c r="AI161" s="824"/>
      <c r="AJ161" s="824"/>
      <c r="AK161" s="824"/>
      <c r="AL161" s="824"/>
      <c r="AM161" s="824"/>
      <c r="AN161" s="824"/>
      <c r="AO161" s="824"/>
      <c r="AP161" s="824"/>
      <c r="AQ161" s="824"/>
      <c r="AR161" s="824"/>
      <c r="AS161" s="824"/>
      <c r="AT161" s="824"/>
      <c r="AU161" s="824"/>
      <c r="AV161" s="824"/>
      <c r="AW161" s="824"/>
      <c r="AX161" s="824"/>
      <c r="AY161" s="824"/>
      <c r="AZ161" s="824"/>
      <c r="BA161" s="824"/>
      <c r="BB161" s="824"/>
      <c r="BC161" s="824"/>
      <c r="BD161" s="824"/>
      <c r="BE161" s="824"/>
      <c r="BF161" s="824"/>
      <c r="BG161" s="824"/>
      <c r="BH161" s="824"/>
      <c r="BI161" s="824"/>
      <c r="BJ161" s="824"/>
      <c r="BK161" s="824"/>
      <c r="BL161" s="824"/>
    </row>
    <row r="162" spans="1:64" s="826" customFormat="1" ht="15.75">
      <c r="A162" s="816" t="s">
        <v>358</v>
      </c>
      <c r="B162" s="1062" t="s">
        <v>364</v>
      </c>
      <c r="C162" s="1063">
        <v>1</v>
      </c>
      <c r="D162" s="819">
        <v>7700000</v>
      </c>
      <c r="E162" s="820" t="s">
        <v>303</v>
      </c>
      <c r="F162" s="821">
        <f>C162*D162</f>
        <v>7700000</v>
      </c>
      <c r="G162" s="822">
        <f>F162</f>
        <v>7700000</v>
      </c>
      <c r="H162" s="822">
        <f>G162*0%</f>
        <v>0</v>
      </c>
      <c r="I162" s="822">
        <f>(H162+G162)*10%</f>
        <v>770000</v>
      </c>
      <c r="J162" s="823">
        <f>H162+G162+I162</f>
        <v>8470000</v>
      </c>
      <c r="K162" s="824"/>
      <c r="L162" s="824"/>
      <c r="M162" s="824"/>
      <c r="N162" s="824"/>
      <c r="O162" s="824"/>
      <c r="P162" s="824"/>
      <c r="Q162" s="824"/>
      <c r="R162" s="824"/>
      <c r="S162" s="824"/>
      <c r="T162" s="824"/>
      <c r="U162" s="824"/>
      <c r="V162" s="824"/>
      <c r="W162" s="824"/>
      <c r="X162" s="824"/>
      <c r="Y162" s="824"/>
      <c r="Z162" s="824"/>
      <c r="AA162" s="824"/>
      <c r="AB162" s="824"/>
      <c r="AC162" s="824"/>
      <c r="AD162" s="824"/>
      <c r="AE162" s="824"/>
      <c r="AF162" s="824"/>
      <c r="AG162" s="824"/>
      <c r="AH162" s="824"/>
      <c r="AI162" s="824"/>
      <c r="AJ162" s="824"/>
      <c r="AK162" s="824"/>
      <c r="AL162" s="824"/>
      <c r="AM162" s="824"/>
      <c r="AN162" s="824"/>
      <c r="AO162" s="824"/>
      <c r="AP162" s="824"/>
      <c r="AQ162" s="824"/>
      <c r="AR162" s="824"/>
      <c r="AS162" s="824"/>
      <c r="AT162" s="824"/>
      <c r="AU162" s="824"/>
      <c r="AV162" s="824"/>
      <c r="AW162" s="824"/>
      <c r="AX162" s="824"/>
      <c r="AY162" s="824"/>
      <c r="AZ162" s="824"/>
      <c r="BA162" s="824"/>
      <c r="BB162" s="824"/>
      <c r="BC162" s="824"/>
      <c r="BD162" s="824"/>
      <c r="BE162" s="824"/>
      <c r="BF162" s="824"/>
      <c r="BG162" s="824"/>
      <c r="BH162" s="824"/>
      <c r="BI162" s="824"/>
      <c r="BJ162" s="824"/>
      <c r="BK162" s="824"/>
      <c r="BL162" s="824"/>
    </row>
    <row r="163" spans="1:64" s="826" customFormat="1" ht="15.75">
      <c r="A163" s="816"/>
      <c r="B163" s="828" t="s">
        <v>383</v>
      </c>
      <c r="C163" s="1063"/>
      <c r="D163" s="819"/>
      <c r="E163" s="820"/>
      <c r="F163" s="821"/>
      <c r="G163" s="822"/>
      <c r="H163" s="822"/>
      <c r="I163" s="822"/>
      <c r="J163" s="823"/>
      <c r="K163" s="824"/>
      <c r="L163" s="824"/>
      <c r="M163" s="824"/>
      <c r="N163" s="824"/>
      <c r="O163" s="824"/>
      <c r="P163" s="824"/>
      <c r="Q163" s="824"/>
      <c r="R163" s="824"/>
      <c r="S163" s="824"/>
      <c r="T163" s="824"/>
      <c r="U163" s="824"/>
      <c r="V163" s="824"/>
      <c r="W163" s="824"/>
      <c r="X163" s="824"/>
      <c r="Y163" s="824"/>
      <c r="Z163" s="824"/>
      <c r="AA163" s="824"/>
      <c r="AB163" s="824"/>
      <c r="AC163" s="824"/>
      <c r="AD163" s="824"/>
      <c r="AE163" s="824"/>
      <c r="AF163" s="824"/>
      <c r="AG163" s="824"/>
      <c r="AH163" s="824"/>
      <c r="AI163" s="824"/>
      <c r="AJ163" s="824"/>
      <c r="AK163" s="824"/>
      <c r="AL163" s="824"/>
      <c r="AM163" s="824"/>
      <c r="AN163" s="824"/>
      <c r="AO163" s="824"/>
      <c r="AP163" s="824"/>
      <c r="AQ163" s="824"/>
      <c r="AR163" s="824"/>
      <c r="AS163" s="824"/>
      <c r="AT163" s="824"/>
      <c r="AU163" s="824"/>
      <c r="AV163" s="824"/>
      <c r="AW163" s="824"/>
      <c r="AX163" s="824"/>
      <c r="AY163" s="824"/>
      <c r="AZ163" s="824"/>
      <c r="BA163" s="824"/>
      <c r="BB163" s="824"/>
      <c r="BC163" s="824"/>
      <c r="BD163" s="824"/>
      <c r="BE163" s="824"/>
      <c r="BF163" s="824"/>
      <c r="BG163" s="824"/>
      <c r="BH163" s="824"/>
      <c r="BI163" s="824"/>
      <c r="BJ163" s="824"/>
      <c r="BK163" s="824"/>
      <c r="BL163" s="824"/>
    </row>
    <row r="164" spans="1:64" s="826" customFormat="1" ht="15.75">
      <c r="A164" s="816" t="s">
        <v>359</v>
      </c>
      <c r="B164" s="1062" t="s">
        <v>383</v>
      </c>
      <c r="C164" s="1063">
        <v>1</v>
      </c>
      <c r="D164" s="819">
        <v>15200000</v>
      </c>
      <c r="E164" s="1067">
        <v>15200000</v>
      </c>
      <c r="F164" s="821">
        <f>C164*D164</f>
        <v>15200000</v>
      </c>
      <c r="G164" s="822">
        <f>F164</f>
        <v>15200000</v>
      </c>
      <c r="H164" s="822">
        <f>G164*0%</f>
        <v>0</v>
      </c>
      <c r="I164" s="822">
        <f>(H164+G164)*10%</f>
        <v>1520000</v>
      </c>
      <c r="J164" s="823">
        <f>H164+G164+I164</f>
        <v>16720000</v>
      </c>
      <c r="K164" s="824"/>
      <c r="L164" s="824"/>
      <c r="M164" s="824"/>
      <c r="N164" s="824"/>
      <c r="O164" s="824"/>
      <c r="P164" s="824"/>
      <c r="Q164" s="824"/>
      <c r="R164" s="824"/>
      <c r="S164" s="824"/>
      <c r="T164" s="824"/>
      <c r="U164" s="824"/>
      <c r="V164" s="824"/>
      <c r="W164" s="824"/>
      <c r="X164" s="824"/>
      <c r="Y164" s="824"/>
      <c r="Z164" s="824"/>
      <c r="AA164" s="824"/>
      <c r="AB164" s="824"/>
      <c r="AC164" s="824"/>
      <c r="AD164" s="824"/>
      <c r="AE164" s="824"/>
      <c r="AF164" s="824"/>
      <c r="AG164" s="824"/>
      <c r="AH164" s="824"/>
      <c r="AI164" s="824"/>
      <c r="AJ164" s="824"/>
      <c r="AK164" s="824"/>
      <c r="AL164" s="824"/>
      <c r="AM164" s="824"/>
      <c r="AN164" s="824"/>
      <c r="AO164" s="824"/>
      <c r="AP164" s="824"/>
      <c r="AQ164" s="824"/>
      <c r="AR164" s="824"/>
      <c r="AS164" s="824"/>
      <c r="AT164" s="824"/>
      <c r="AU164" s="824"/>
      <c r="AV164" s="824"/>
      <c r="AW164" s="824"/>
      <c r="AX164" s="824"/>
      <c r="AY164" s="824"/>
      <c r="AZ164" s="824"/>
      <c r="BA164" s="824"/>
      <c r="BB164" s="824"/>
      <c r="BC164" s="824"/>
      <c r="BD164" s="824"/>
      <c r="BE164" s="824"/>
      <c r="BF164" s="824"/>
      <c r="BG164" s="824"/>
      <c r="BH164" s="824"/>
      <c r="BI164" s="824"/>
      <c r="BJ164" s="824"/>
      <c r="BK164" s="824"/>
      <c r="BL164" s="824"/>
    </row>
    <row r="165" spans="1:64" s="65" customFormat="1" ht="15" customHeight="1">
      <c r="A165" s="263"/>
      <c r="B165" s="420" t="s">
        <v>246</v>
      </c>
      <c r="C165" s="454"/>
      <c r="D165" s="421"/>
      <c r="E165" s="421"/>
      <c r="F165" s="421"/>
      <c r="G165" s="421"/>
      <c r="H165" s="421"/>
      <c r="I165" s="421"/>
      <c r="J165" s="422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</row>
    <row r="166" spans="1:64" s="65" customFormat="1" ht="15.75">
      <c r="A166" s="263" t="s">
        <v>384</v>
      </c>
      <c r="B166" s="1047" t="s">
        <v>232</v>
      </c>
      <c r="C166" s="1048">
        <v>1</v>
      </c>
      <c r="D166" s="668">
        <v>2000000</v>
      </c>
      <c r="E166" s="415"/>
      <c r="F166" s="417">
        <f>C166*D166</f>
        <v>2000000</v>
      </c>
      <c r="G166" s="418">
        <f>F166</f>
        <v>2000000</v>
      </c>
      <c r="H166" s="418">
        <f>G166*0%</f>
        <v>0</v>
      </c>
      <c r="I166" s="418">
        <v>0</v>
      </c>
      <c r="J166" s="419">
        <f>H166+G166+I166</f>
        <v>2000000</v>
      </c>
      <c r="K166" s="391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</row>
    <row r="167" spans="1:64" s="64" customFormat="1" ht="7.5" customHeight="1">
      <c r="A167" s="304"/>
      <c r="B167" s="305"/>
      <c r="C167" s="456"/>
      <c r="D167" s="306"/>
      <c r="E167" s="305"/>
      <c r="F167" s="307"/>
      <c r="G167" s="308"/>
      <c r="H167" s="308"/>
      <c r="I167" s="308"/>
      <c r="J167" s="309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</row>
    <row r="168" spans="1:64" s="66" customFormat="1" ht="14.25" customHeight="1">
      <c r="A168" s="270"/>
      <c r="B168" s="441" t="s">
        <v>150</v>
      </c>
      <c r="C168" s="457"/>
      <c r="D168" s="261"/>
      <c r="E168" s="258"/>
      <c r="F168" s="63">
        <f>SUM(F103:F167)</f>
        <v>345002000</v>
      </c>
      <c r="G168" s="63">
        <f>SUM(G103:G167)</f>
        <v>345002000</v>
      </c>
      <c r="H168" s="63">
        <f>SUM(H103:H167)</f>
        <v>0</v>
      </c>
      <c r="I168" s="63">
        <f>SUM(I103:I167)</f>
        <v>34300200</v>
      </c>
      <c r="J168" s="63">
        <f>SUM(J103:J167)</f>
        <v>413315920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</row>
    <row r="169" spans="1:64" s="257" customFormat="1" ht="11.25" customHeight="1" thickBot="1">
      <c r="A169" s="282"/>
      <c r="B169" s="283"/>
      <c r="C169" s="461"/>
      <c r="D169" s="283"/>
      <c r="E169" s="283"/>
      <c r="F169" s="283"/>
      <c r="G169" s="283"/>
      <c r="H169" s="283"/>
      <c r="I169" s="283"/>
      <c r="J169" s="287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</row>
    <row r="170" spans="1:64" ht="15" customHeight="1" thickBot="1">
      <c r="A170" s="428"/>
      <c r="B170" s="426" t="s">
        <v>2</v>
      </c>
      <c r="C170" s="462"/>
      <c r="D170" s="430"/>
      <c r="E170" s="429"/>
      <c r="F170" s="431"/>
      <c r="G170" s="432"/>
      <c r="H170" s="432"/>
      <c r="I170" s="432"/>
      <c r="J170" s="433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1:64" s="62" customFormat="1" ht="15" customHeight="1">
      <c r="A171" s="250"/>
      <c r="B171" s="434" t="s">
        <v>80</v>
      </c>
      <c r="C171" s="459"/>
      <c r="D171" s="435"/>
      <c r="E171" s="435"/>
      <c r="F171" s="435"/>
      <c r="G171" s="435"/>
      <c r="H171" s="435"/>
      <c r="I171" s="435"/>
      <c r="J171" s="440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</row>
    <row r="172" spans="1:64" s="65" customFormat="1" ht="15.75">
      <c r="A172" s="263" t="s">
        <v>164</v>
      </c>
      <c r="B172" s="1047" t="s">
        <v>284</v>
      </c>
      <c r="C172" s="1048">
        <f>(250*12)*3</f>
        <v>9000</v>
      </c>
      <c r="D172" s="416">
        <v>2100</v>
      </c>
      <c r="E172" s="415" t="s">
        <v>167</v>
      </c>
      <c r="F172" s="417">
        <f>C172*D172</f>
        <v>18900000</v>
      </c>
      <c r="G172" s="418">
        <f>F172</f>
        <v>18900000</v>
      </c>
      <c r="H172" s="418">
        <f>G172*0%</f>
        <v>0</v>
      </c>
      <c r="I172" s="418">
        <f>(H172+G172)*10%</f>
        <v>1890000</v>
      </c>
      <c r="J172" s="419">
        <f>H172+G172+I172</f>
        <v>20790000</v>
      </c>
      <c r="K172" s="661"/>
      <c r="L172" s="661"/>
      <c r="M172" s="661"/>
      <c r="N172" s="661"/>
      <c r="O172" s="661"/>
      <c r="P172" s="661"/>
      <c r="Q172" s="661"/>
      <c r="R172" s="661"/>
      <c r="S172" s="661"/>
      <c r="T172" s="661"/>
      <c r="U172" s="661"/>
      <c r="V172" s="661"/>
      <c r="W172" s="661"/>
      <c r="X172" s="661"/>
      <c r="Y172" s="661"/>
      <c r="Z172" s="661"/>
      <c r="AA172" s="661"/>
      <c r="AB172" s="661"/>
      <c r="AC172" s="661"/>
      <c r="AD172" s="661"/>
      <c r="AE172" s="661"/>
      <c r="AF172" s="661"/>
      <c r="AG172" s="661"/>
      <c r="AH172" s="661"/>
      <c r="AI172" s="661"/>
      <c r="AJ172" s="661"/>
      <c r="AK172" s="661"/>
      <c r="AL172" s="661"/>
      <c r="AM172" s="661"/>
      <c r="AN172" s="661"/>
      <c r="AO172" s="661"/>
      <c r="AP172" s="661"/>
      <c r="AQ172" s="661"/>
      <c r="AR172" s="661"/>
      <c r="AS172" s="661"/>
      <c r="AT172" s="661"/>
      <c r="AU172" s="661"/>
      <c r="AV172" s="661"/>
      <c r="AW172" s="661"/>
      <c r="AX172" s="661"/>
      <c r="AY172" s="661"/>
      <c r="AZ172" s="661"/>
      <c r="BA172" s="661"/>
      <c r="BB172" s="661"/>
      <c r="BC172" s="661"/>
      <c r="BD172" s="661"/>
      <c r="BE172" s="661"/>
      <c r="BF172" s="661"/>
      <c r="BG172" s="661"/>
      <c r="BH172" s="661"/>
      <c r="BI172" s="661"/>
      <c r="BJ172" s="661"/>
      <c r="BK172" s="661"/>
      <c r="BL172" s="661"/>
    </row>
    <row r="173" spans="1:64" s="65" customFormat="1" ht="25.5" customHeight="1">
      <c r="A173" s="263" t="s">
        <v>165</v>
      </c>
      <c r="B173" s="1047" t="s">
        <v>101</v>
      </c>
      <c r="C173" s="1048">
        <v>1</v>
      </c>
      <c r="D173" s="416">
        <v>14400000</v>
      </c>
      <c r="E173" s="415" t="s">
        <v>388</v>
      </c>
      <c r="F173" s="417">
        <f>C173*D173</f>
        <v>14400000</v>
      </c>
      <c r="G173" s="418">
        <f>F173</f>
        <v>14400000</v>
      </c>
      <c r="H173" s="418">
        <f>G173*0%</f>
        <v>0</v>
      </c>
      <c r="I173" s="418">
        <f>(H173+G173)*10%</f>
        <v>1440000</v>
      </c>
      <c r="J173" s="419">
        <f>H173+G173+I173</f>
        <v>15840000</v>
      </c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</row>
    <row r="174" spans="1:64" s="65" customFormat="1" ht="15" customHeight="1">
      <c r="A174" s="263"/>
      <c r="B174" s="420" t="s">
        <v>83</v>
      </c>
      <c r="C174" s="454"/>
      <c r="D174" s="421"/>
      <c r="E174" s="421"/>
      <c r="F174" s="421"/>
      <c r="G174" s="421"/>
      <c r="H174" s="421"/>
      <c r="I174" s="421"/>
      <c r="J174" s="422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</row>
    <row r="175" spans="1:64" s="65" customFormat="1" ht="15" customHeight="1">
      <c r="A175" s="263" t="s">
        <v>166</v>
      </c>
      <c r="B175" s="1047" t="s">
        <v>115</v>
      </c>
      <c r="C175" s="1048">
        <f>8*10000</f>
        <v>80000</v>
      </c>
      <c r="D175" s="416">
        <v>50</v>
      </c>
      <c r="E175" s="415" t="s">
        <v>285</v>
      </c>
      <c r="F175" s="417">
        <f>C175*D175</f>
        <v>4000000</v>
      </c>
      <c r="G175" s="418">
        <f>F175</f>
        <v>4000000</v>
      </c>
      <c r="H175" s="418">
        <f>G175*0%</f>
        <v>0</v>
      </c>
      <c r="I175" s="418">
        <f>(H175+G175)*10%</f>
        <v>400000</v>
      </c>
      <c r="J175" s="419">
        <f>H175+G175+I175</f>
        <v>4400000</v>
      </c>
      <c r="K175" s="661"/>
      <c r="L175" s="661"/>
      <c r="M175" s="661"/>
      <c r="N175" s="661"/>
      <c r="O175" s="661"/>
      <c r="P175" s="661"/>
      <c r="Q175" s="661"/>
      <c r="R175" s="661"/>
      <c r="S175" s="661"/>
      <c r="T175" s="661"/>
      <c r="U175" s="661"/>
      <c r="V175" s="661"/>
      <c r="W175" s="661"/>
      <c r="X175" s="661"/>
      <c r="Y175" s="661"/>
      <c r="Z175" s="661"/>
      <c r="AA175" s="661"/>
      <c r="AB175" s="661"/>
      <c r="AC175" s="661"/>
      <c r="AD175" s="661"/>
      <c r="AE175" s="661"/>
      <c r="AF175" s="661"/>
      <c r="AG175" s="661"/>
      <c r="AH175" s="661"/>
      <c r="AI175" s="661"/>
      <c r="AJ175" s="661"/>
      <c r="AK175" s="661"/>
      <c r="AL175" s="661"/>
      <c r="AM175" s="661"/>
      <c r="AN175" s="661"/>
      <c r="AO175" s="661"/>
      <c r="AP175" s="661"/>
      <c r="AQ175" s="661"/>
      <c r="AR175" s="661"/>
      <c r="AS175" s="661"/>
      <c r="AT175" s="661"/>
      <c r="AU175" s="661"/>
      <c r="AV175" s="661"/>
      <c r="AW175" s="661"/>
      <c r="AX175" s="661"/>
      <c r="AY175" s="661"/>
      <c r="AZ175" s="661"/>
      <c r="BA175" s="661"/>
      <c r="BB175" s="661"/>
      <c r="BC175" s="661"/>
      <c r="BD175" s="661"/>
      <c r="BE175" s="661"/>
      <c r="BF175" s="661"/>
      <c r="BG175" s="661"/>
      <c r="BH175" s="661"/>
      <c r="BI175" s="661"/>
      <c r="BJ175" s="661"/>
      <c r="BK175" s="661"/>
      <c r="BL175" s="661"/>
    </row>
    <row r="176" spans="1:64" s="65" customFormat="1" ht="15" customHeight="1">
      <c r="A176" s="263" t="s">
        <v>168</v>
      </c>
      <c r="B176" s="1047" t="s">
        <v>286</v>
      </c>
      <c r="C176" s="1048">
        <v>4</v>
      </c>
      <c r="D176" s="416">
        <v>75000</v>
      </c>
      <c r="E176" s="415"/>
      <c r="F176" s="417">
        <f>C176*D176</f>
        <v>300000</v>
      </c>
      <c r="G176" s="418">
        <f>F176</f>
        <v>300000</v>
      </c>
      <c r="H176" s="418">
        <f>G176*0%</f>
        <v>0</v>
      </c>
      <c r="I176" s="418">
        <f>(H176+G176)*10%</f>
        <v>30000</v>
      </c>
      <c r="J176" s="419">
        <f>H176+G176+I176</f>
        <v>330000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</row>
    <row r="177" spans="1:64" s="65" customFormat="1" ht="15" customHeight="1">
      <c r="A177" s="263" t="s">
        <v>169</v>
      </c>
      <c r="B177" s="1047" t="s">
        <v>116</v>
      </c>
      <c r="C177" s="1048">
        <v>4</v>
      </c>
      <c r="D177" s="416">
        <v>150000</v>
      </c>
      <c r="E177" s="415"/>
      <c r="F177" s="417">
        <f>C177*D177</f>
        <v>600000</v>
      </c>
      <c r="G177" s="418">
        <f>F177</f>
        <v>600000</v>
      </c>
      <c r="H177" s="418">
        <f>G177*0%</f>
        <v>0</v>
      </c>
      <c r="I177" s="418">
        <f>(H177+G177)*10%</f>
        <v>60000</v>
      </c>
      <c r="J177" s="419">
        <f>H177+G177+I177</f>
        <v>660000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</row>
    <row r="178" spans="1:64" s="65" customFormat="1" ht="21.75" customHeight="1">
      <c r="A178" s="263" t="s">
        <v>170</v>
      </c>
      <c r="B178" s="1047" t="s">
        <v>391</v>
      </c>
      <c r="C178" s="1048">
        <v>10</v>
      </c>
      <c r="D178" s="416">
        <v>75000</v>
      </c>
      <c r="E178" s="415"/>
      <c r="F178" s="417">
        <f>C178*D178</f>
        <v>750000</v>
      </c>
      <c r="G178" s="418">
        <f>F178</f>
        <v>750000</v>
      </c>
      <c r="H178" s="418">
        <f>G178*0%</f>
        <v>0</v>
      </c>
      <c r="I178" s="418">
        <f>(H178+G178)*10%</f>
        <v>75000</v>
      </c>
      <c r="J178" s="419">
        <f>H178+G178+I178</f>
        <v>825000</v>
      </c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</row>
    <row r="179" spans="1:64" s="65" customFormat="1" ht="15" customHeight="1">
      <c r="A179" s="263"/>
      <c r="B179" s="420" t="s">
        <v>385</v>
      </c>
      <c r="C179" s="454"/>
      <c r="D179" s="421"/>
      <c r="E179" s="421"/>
      <c r="F179" s="421"/>
      <c r="G179" s="421"/>
      <c r="H179" s="421"/>
      <c r="I179" s="421"/>
      <c r="J179" s="422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</row>
    <row r="180" spans="1:64" s="65" customFormat="1" ht="15.75">
      <c r="A180" s="263" t="s">
        <v>171</v>
      </c>
      <c r="B180" s="1047" t="s">
        <v>220</v>
      </c>
      <c r="C180" s="1048">
        <v>4</v>
      </c>
      <c r="D180" s="416">
        <v>2300000</v>
      </c>
      <c r="E180" s="415"/>
      <c r="F180" s="417">
        <f>C180*D180</f>
        <v>9200000</v>
      </c>
      <c r="G180" s="418">
        <f>F180</f>
        <v>9200000</v>
      </c>
      <c r="H180" s="418">
        <f>G180*0%</f>
        <v>0</v>
      </c>
      <c r="I180" s="418">
        <f>(H180+G180)*10%</f>
        <v>920000</v>
      </c>
      <c r="J180" s="419">
        <f>H180+G180+I180</f>
        <v>10120000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</row>
    <row r="181" spans="1:64" s="65" customFormat="1" ht="15" customHeight="1">
      <c r="A181" s="263"/>
      <c r="B181" s="420" t="s">
        <v>141</v>
      </c>
      <c r="C181" s="454"/>
      <c r="D181" s="421"/>
      <c r="E181" s="421"/>
      <c r="F181" s="421"/>
      <c r="G181" s="421"/>
      <c r="H181" s="421"/>
      <c r="I181" s="421"/>
      <c r="J181" s="422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</row>
    <row r="182" spans="1:64" s="65" customFormat="1" ht="15" customHeight="1">
      <c r="A182" s="263" t="s">
        <v>173</v>
      </c>
      <c r="B182" s="1047" t="s">
        <v>322</v>
      </c>
      <c r="C182" s="1048">
        <v>2</v>
      </c>
      <c r="D182" s="416">
        <v>150000</v>
      </c>
      <c r="E182" s="415" t="s">
        <v>260</v>
      </c>
      <c r="F182" s="417">
        <f>C182*D182</f>
        <v>300000</v>
      </c>
      <c r="G182" s="418">
        <f>F182</f>
        <v>300000</v>
      </c>
      <c r="H182" s="418">
        <f>G182*0%</f>
        <v>0</v>
      </c>
      <c r="I182" s="418">
        <f>(H182+G182)*10%</f>
        <v>30000</v>
      </c>
      <c r="J182" s="419">
        <f>H182+G182+I182</f>
        <v>330000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</row>
    <row r="183" spans="1:64" s="65" customFormat="1" ht="15" customHeight="1">
      <c r="A183" s="263" t="s">
        <v>174</v>
      </c>
      <c r="B183" s="1047" t="s">
        <v>295</v>
      </c>
      <c r="C183" s="1048">
        <v>0</v>
      </c>
      <c r="D183" s="416">
        <v>25000</v>
      </c>
      <c r="E183" s="415" t="s">
        <v>221</v>
      </c>
      <c r="F183" s="417">
        <f>C183*D183</f>
        <v>0</v>
      </c>
      <c r="G183" s="418">
        <f>F183</f>
        <v>0</v>
      </c>
      <c r="H183" s="418">
        <f>G183*0%</f>
        <v>0</v>
      </c>
      <c r="I183" s="418">
        <f>(H183+G183)*10%</f>
        <v>0</v>
      </c>
      <c r="J183" s="419">
        <f>H183+G183+I183</f>
        <v>0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</row>
    <row r="184" spans="1:64" s="65" customFormat="1" ht="15" customHeight="1">
      <c r="A184" s="263" t="s">
        <v>176</v>
      </c>
      <c r="B184" s="1047" t="s">
        <v>100</v>
      </c>
      <c r="C184" s="1048">
        <f>35*10000</f>
        <v>350000</v>
      </c>
      <c r="D184" s="416">
        <v>5</v>
      </c>
      <c r="E184" s="415" t="s">
        <v>172</v>
      </c>
      <c r="F184" s="417">
        <f>C184*D184</f>
        <v>1750000</v>
      </c>
      <c r="G184" s="418">
        <f>F184</f>
        <v>1750000</v>
      </c>
      <c r="H184" s="418">
        <f>G184*0%</f>
        <v>0</v>
      </c>
      <c r="I184" s="418">
        <f>(H184+G184)*10%</f>
        <v>175000</v>
      </c>
      <c r="J184" s="419">
        <f>H184+G184+I184</f>
        <v>1925000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</row>
    <row r="185" spans="1:64" s="65" customFormat="1" ht="15" customHeight="1">
      <c r="A185" s="263"/>
      <c r="B185" s="420" t="s">
        <v>117</v>
      </c>
      <c r="C185" s="454"/>
      <c r="D185" s="421"/>
      <c r="E185" s="421"/>
      <c r="F185" s="421"/>
      <c r="G185" s="421"/>
      <c r="H185" s="421"/>
      <c r="I185" s="421"/>
      <c r="J185" s="422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</row>
    <row r="186" spans="1:64" s="65" customFormat="1" ht="15.75">
      <c r="A186" s="263" t="s">
        <v>178</v>
      </c>
      <c r="B186" s="1047" t="s">
        <v>118</v>
      </c>
      <c r="C186" s="1048">
        <v>1500</v>
      </c>
      <c r="D186" s="416">
        <v>1500</v>
      </c>
      <c r="E186" s="415"/>
      <c r="F186" s="417">
        <f>C186*D186</f>
        <v>2250000</v>
      </c>
      <c r="G186" s="418">
        <f>F186</f>
        <v>2250000</v>
      </c>
      <c r="H186" s="418">
        <f>G186*0%</f>
        <v>0</v>
      </c>
      <c r="I186" s="418">
        <f>(H186+G186)*10%</f>
        <v>225000</v>
      </c>
      <c r="J186" s="419">
        <f>H186+G186+I186</f>
        <v>2475000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</row>
    <row r="187" spans="1:64" s="65" customFormat="1" ht="15" customHeight="1">
      <c r="A187" s="263"/>
      <c r="B187" s="420" t="s">
        <v>119</v>
      </c>
      <c r="C187" s="454"/>
      <c r="D187" s="421"/>
      <c r="E187" s="421"/>
      <c r="F187" s="421"/>
      <c r="G187" s="421"/>
      <c r="H187" s="421"/>
      <c r="I187" s="421"/>
      <c r="J187" s="422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</row>
    <row r="188" spans="1:64" s="65" customFormat="1" ht="15.75">
      <c r="A188" s="263" t="s">
        <v>179</v>
      </c>
      <c r="B188" s="1047" t="s">
        <v>120</v>
      </c>
      <c r="C188" s="1048">
        <v>1000</v>
      </c>
      <c r="D188" s="416">
        <v>1800</v>
      </c>
      <c r="E188" s="415" t="s">
        <v>287</v>
      </c>
      <c r="F188" s="417">
        <f>C188*D188</f>
        <v>1800000</v>
      </c>
      <c r="G188" s="418">
        <f>F188</f>
        <v>1800000</v>
      </c>
      <c r="H188" s="418">
        <f>G188*0%</f>
        <v>0</v>
      </c>
      <c r="I188" s="418">
        <f>(H188+G188)*10%</f>
        <v>180000</v>
      </c>
      <c r="J188" s="419">
        <f>H188+G188+I188</f>
        <v>1980000</v>
      </c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</row>
    <row r="189" spans="1:64" s="65" customFormat="1" ht="15" customHeight="1">
      <c r="A189" s="263"/>
      <c r="B189" s="420" t="s">
        <v>121</v>
      </c>
      <c r="C189" s="454"/>
      <c r="D189" s="421"/>
      <c r="E189" s="421"/>
      <c r="F189" s="421"/>
      <c r="G189" s="421"/>
      <c r="H189" s="421"/>
      <c r="I189" s="421"/>
      <c r="J189" s="422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</row>
    <row r="190" spans="1:64" s="65" customFormat="1" ht="15.75">
      <c r="A190" s="263" t="s">
        <v>181</v>
      </c>
      <c r="B190" s="1047" t="s">
        <v>122</v>
      </c>
      <c r="C190" s="1048">
        <v>1000</v>
      </c>
      <c r="D190" s="416">
        <v>2000</v>
      </c>
      <c r="E190" s="415"/>
      <c r="F190" s="417">
        <f>C190*D190</f>
        <v>2000000</v>
      </c>
      <c r="G190" s="418">
        <f>F190</f>
        <v>2000000</v>
      </c>
      <c r="H190" s="418">
        <f>G190*0%</f>
        <v>0</v>
      </c>
      <c r="I190" s="418">
        <f>(H190+G190)*10%</f>
        <v>200000</v>
      </c>
      <c r="J190" s="419">
        <f>H190+G190+I190</f>
        <v>2200000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</row>
    <row r="191" spans="1:64" s="65" customFormat="1" ht="15" customHeight="1">
      <c r="A191" s="263"/>
      <c r="B191" s="420" t="s">
        <v>5</v>
      </c>
      <c r="C191" s="454"/>
      <c r="D191" s="421"/>
      <c r="E191" s="421"/>
      <c r="F191" s="421"/>
      <c r="G191" s="421"/>
      <c r="H191" s="421"/>
      <c r="I191" s="421"/>
      <c r="J191" s="422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</row>
    <row r="192" spans="1:64" s="65" customFormat="1" ht="15.75">
      <c r="A192" s="263" t="s">
        <v>182</v>
      </c>
      <c r="B192" s="1047" t="s">
        <v>438</v>
      </c>
      <c r="C192" s="1048">
        <v>3000</v>
      </c>
      <c r="D192" s="416">
        <v>800</v>
      </c>
      <c r="E192" s="415"/>
      <c r="F192" s="417">
        <f>C192*D192</f>
        <v>2400000</v>
      </c>
      <c r="G192" s="418">
        <f>F192</f>
        <v>2400000</v>
      </c>
      <c r="H192" s="418">
        <f>G192*0%</f>
        <v>0</v>
      </c>
      <c r="I192" s="418">
        <f>(H192+G192)*10%</f>
        <v>240000</v>
      </c>
      <c r="J192" s="419">
        <f>H192+G192+I192</f>
        <v>2640000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</row>
    <row r="193" spans="1:64" s="65" customFormat="1" ht="15" customHeight="1">
      <c r="A193" s="263"/>
      <c r="B193" s="420" t="s">
        <v>123</v>
      </c>
      <c r="C193" s="454"/>
      <c r="D193" s="421"/>
      <c r="E193" s="421"/>
      <c r="F193" s="421"/>
      <c r="G193" s="421"/>
      <c r="H193" s="421"/>
      <c r="I193" s="421"/>
      <c r="J193" s="422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</row>
    <row r="194" spans="1:64" s="65" customFormat="1" ht="14.25" customHeight="1">
      <c r="A194" s="263" t="s">
        <v>183</v>
      </c>
      <c r="B194" s="1047" t="s">
        <v>124</v>
      </c>
      <c r="C194" s="1048">
        <v>1200</v>
      </c>
      <c r="D194" s="416">
        <v>2500</v>
      </c>
      <c r="E194" s="415" t="s">
        <v>312</v>
      </c>
      <c r="F194" s="417">
        <f>C194*D194</f>
        <v>3000000</v>
      </c>
      <c r="G194" s="418">
        <f>F194</f>
        <v>3000000</v>
      </c>
      <c r="H194" s="418">
        <f>G194*0%</f>
        <v>0</v>
      </c>
      <c r="I194" s="418">
        <f>(H194+G194)*10%</f>
        <v>300000</v>
      </c>
      <c r="J194" s="419">
        <f>H194+G194+I194</f>
        <v>3300000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</row>
    <row r="195" spans="1:64" s="65" customFormat="1" ht="14.25" customHeight="1">
      <c r="A195" s="263" t="s">
        <v>184</v>
      </c>
      <c r="B195" s="1047" t="s">
        <v>143</v>
      </c>
      <c r="C195" s="1048">
        <v>1500</v>
      </c>
      <c r="D195" s="416">
        <v>2000</v>
      </c>
      <c r="E195" s="415" t="s">
        <v>261</v>
      </c>
      <c r="F195" s="417">
        <f>C195*D195</f>
        <v>3000000</v>
      </c>
      <c r="G195" s="418">
        <f>F195</f>
        <v>3000000</v>
      </c>
      <c r="H195" s="418">
        <f>G195*0%</f>
        <v>0</v>
      </c>
      <c r="I195" s="418">
        <f>(H195+G195)*10%</f>
        <v>300000</v>
      </c>
      <c r="J195" s="419">
        <f>H195+G195+I195</f>
        <v>3300000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</row>
    <row r="196" spans="1:64" s="65" customFormat="1" ht="15" customHeight="1">
      <c r="A196" s="263"/>
      <c r="B196" s="420" t="s">
        <v>6</v>
      </c>
      <c r="C196" s="454"/>
      <c r="D196" s="421"/>
      <c r="E196" s="421"/>
      <c r="F196" s="421"/>
      <c r="G196" s="421"/>
      <c r="H196" s="421"/>
      <c r="I196" s="421"/>
      <c r="J196" s="422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</row>
    <row r="197" spans="1:64" s="826" customFormat="1" ht="15.75">
      <c r="A197" s="816" t="s">
        <v>185</v>
      </c>
      <c r="B197" s="1062" t="s">
        <v>409</v>
      </c>
      <c r="C197" s="1063">
        <v>24000</v>
      </c>
      <c r="D197" s="819"/>
      <c r="E197" s="820" t="s">
        <v>410</v>
      </c>
      <c r="F197" s="821">
        <f>C197*D197</f>
        <v>0</v>
      </c>
      <c r="G197" s="822">
        <f>F197</f>
        <v>0</v>
      </c>
      <c r="H197" s="822">
        <f>G197*0%</f>
        <v>0</v>
      </c>
      <c r="I197" s="822">
        <f>(H197+G197)*10%</f>
        <v>0</v>
      </c>
      <c r="J197" s="823">
        <f>H197+G197+I197</f>
        <v>0</v>
      </c>
      <c r="K197" s="824"/>
      <c r="L197" s="824"/>
      <c r="M197" s="824"/>
      <c r="N197" s="824"/>
      <c r="O197" s="824"/>
      <c r="P197" s="824"/>
      <c r="Q197" s="824"/>
      <c r="R197" s="824"/>
      <c r="S197" s="824"/>
      <c r="T197" s="824"/>
      <c r="U197" s="824"/>
      <c r="V197" s="824"/>
      <c r="W197" s="824"/>
      <c r="X197" s="824"/>
      <c r="Y197" s="824"/>
      <c r="Z197" s="824"/>
      <c r="AA197" s="824"/>
      <c r="AB197" s="824"/>
      <c r="AC197" s="824"/>
      <c r="AD197" s="824"/>
      <c r="AE197" s="824"/>
      <c r="AF197" s="824"/>
      <c r="AG197" s="824"/>
      <c r="AH197" s="824"/>
      <c r="AI197" s="824"/>
      <c r="AJ197" s="824"/>
      <c r="AK197" s="824"/>
      <c r="AL197" s="824"/>
      <c r="AM197" s="824"/>
      <c r="AN197" s="824"/>
      <c r="AO197" s="824"/>
      <c r="AP197" s="824"/>
      <c r="AQ197" s="824"/>
      <c r="AR197" s="824"/>
      <c r="AS197" s="824"/>
      <c r="AT197" s="824"/>
      <c r="AU197" s="824"/>
      <c r="AV197" s="824"/>
      <c r="AW197" s="824"/>
      <c r="AX197" s="824"/>
      <c r="AY197" s="824"/>
      <c r="AZ197" s="824"/>
      <c r="BA197" s="824"/>
      <c r="BB197" s="824"/>
      <c r="BC197" s="824"/>
      <c r="BD197" s="824"/>
      <c r="BE197" s="824"/>
      <c r="BF197" s="824"/>
      <c r="BG197" s="824"/>
      <c r="BH197" s="824"/>
      <c r="BI197" s="824"/>
      <c r="BJ197" s="824"/>
      <c r="BK197" s="824"/>
      <c r="BL197" s="824"/>
    </row>
    <row r="198" spans="1:64" s="826" customFormat="1" ht="15.75">
      <c r="A198" s="816" t="s">
        <v>186</v>
      </c>
      <c r="B198" s="1062" t="s">
        <v>408</v>
      </c>
      <c r="C198" s="1063">
        <v>4000</v>
      </c>
      <c r="D198" s="819"/>
      <c r="E198" s="820" t="s">
        <v>410</v>
      </c>
      <c r="F198" s="821">
        <f>C198*D198</f>
        <v>0</v>
      </c>
      <c r="G198" s="822">
        <f>F198</f>
        <v>0</v>
      </c>
      <c r="H198" s="822">
        <f>G198*0%</f>
        <v>0</v>
      </c>
      <c r="I198" s="822">
        <f>(H198+G198)*10%</f>
        <v>0</v>
      </c>
      <c r="J198" s="823">
        <f>H198+G198+I198</f>
        <v>0</v>
      </c>
      <c r="K198" s="824"/>
      <c r="L198" s="824"/>
      <c r="M198" s="824"/>
      <c r="N198" s="824"/>
      <c r="O198" s="824"/>
      <c r="P198" s="824"/>
      <c r="Q198" s="824"/>
      <c r="R198" s="824"/>
      <c r="S198" s="824"/>
      <c r="T198" s="824"/>
      <c r="U198" s="824"/>
      <c r="V198" s="824"/>
      <c r="W198" s="824"/>
      <c r="X198" s="824"/>
      <c r="Y198" s="824"/>
      <c r="Z198" s="824"/>
      <c r="AA198" s="824"/>
      <c r="AB198" s="824"/>
      <c r="AC198" s="824"/>
      <c r="AD198" s="824"/>
      <c r="AE198" s="824"/>
      <c r="AF198" s="824"/>
      <c r="AG198" s="824"/>
      <c r="AH198" s="824"/>
      <c r="AI198" s="824"/>
      <c r="AJ198" s="824"/>
      <c r="AK198" s="824"/>
      <c r="AL198" s="824"/>
      <c r="AM198" s="824"/>
      <c r="AN198" s="824"/>
      <c r="AO198" s="824"/>
      <c r="AP198" s="824"/>
      <c r="AQ198" s="824"/>
      <c r="AR198" s="824"/>
      <c r="AS198" s="824"/>
      <c r="AT198" s="824"/>
      <c r="AU198" s="824"/>
      <c r="AV198" s="824"/>
      <c r="AW198" s="824"/>
      <c r="AX198" s="824"/>
      <c r="AY198" s="824"/>
      <c r="AZ198" s="824"/>
      <c r="BA198" s="824"/>
      <c r="BB198" s="824"/>
      <c r="BC198" s="824"/>
      <c r="BD198" s="824"/>
      <c r="BE198" s="824"/>
      <c r="BF198" s="824"/>
      <c r="BG198" s="824"/>
      <c r="BH198" s="824"/>
      <c r="BI198" s="824"/>
      <c r="BJ198" s="824"/>
      <c r="BK198" s="824"/>
      <c r="BL198" s="824"/>
    </row>
    <row r="199" spans="1:64" s="65" customFormat="1" ht="15" customHeight="1">
      <c r="A199" s="263"/>
      <c r="B199" s="420" t="s">
        <v>7</v>
      </c>
      <c r="C199" s="454"/>
      <c r="D199" s="421"/>
      <c r="E199" s="421"/>
      <c r="F199" s="421"/>
      <c r="G199" s="421"/>
      <c r="H199" s="421"/>
      <c r="I199" s="421"/>
      <c r="J199" s="422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</row>
    <row r="200" spans="1:64" s="65" customFormat="1" ht="15.75">
      <c r="A200" s="263" t="s">
        <v>187</v>
      </c>
      <c r="B200" s="1047" t="s">
        <v>71</v>
      </c>
      <c r="C200" s="1048">
        <v>2550</v>
      </c>
      <c r="D200" s="416">
        <v>105000</v>
      </c>
      <c r="E200" s="415"/>
      <c r="F200" s="417">
        <f>C200*D200</f>
        <v>267750000</v>
      </c>
      <c r="G200" s="418">
        <f>F200</f>
        <v>267750000</v>
      </c>
      <c r="H200" s="418">
        <f>G200*0%</f>
        <v>0</v>
      </c>
      <c r="I200" s="418">
        <f>(H200+G200)*10%</f>
        <v>26775000</v>
      </c>
      <c r="J200" s="419">
        <f>H200+G200+I200</f>
        <v>294525000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</row>
    <row r="201" spans="1:64" s="65" customFormat="1" ht="15.75">
      <c r="A201" s="263" t="s">
        <v>188</v>
      </c>
      <c r="B201" s="1047" t="s">
        <v>72</v>
      </c>
      <c r="C201" s="1048">
        <v>1950</v>
      </c>
      <c r="D201" s="416">
        <v>105000</v>
      </c>
      <c r="E201" s="415"/>
      <c r="F201" s="417">
        <f>C201*D201</f>
        <v>204750000</v>
      </c>
      <c r="G201" s="418">
        <f>F201</f>
        <v>204750000</v>
      </c>
      <c r="H201" s="418">
        <f>G201*0%</f>
        <v>0</v>
      </c>
      <c r="I201" s="418">
        <f>(H201+G201)*10%</f>
        <v>20475000</v>
      </c>
      <c r="J201" s="419">
        <f>H201+G201+I201</f>
        <v>225225000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</row>
    <row r="202" spans="1:64" s="65" customFormat="1" ht="15" customHeight="1">
      <c r="A202" s="263"/>
      <c r="B202" s="420" t="s">
        <v>10</v>
      </c>
      <c r="C202" s="454"/>
      <c r="D202" s="421"/>
      <c r="E202" s="421"/>
      <c r="F202" s="421"/>
      <c r="G202" s="421"/>
      <c r="H202" s="421"/>
      <c r="I202" s="421"/>
      <c r="J202" s="42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</row>
    <row r="203" spans="1:64" s="65" customFormat="1" ht="15.75">
      <c r="A203" s="263" t="s">
        <v>189</v>
      </c>
      <c r="B203" s="1047" t="s">
        <v>439</v>
      </c>
      <c r="C203" s="1048">
        <v>2650</v>
      </c>
      <c r="D203" s="416">
        <v>900</v>
      </c>
      <c r="E203" s="415" t="s">
        <v>192</v>
      </c>
      <c r="F203" s="417">
        <f>C203*D203</f>
        <v>2385000</v>
      </c>
      <c r="G203" s="418">
        <f>F203</f>
        <v>2385000</v>
      </c>
      <c r="H203" s="418">
        <f>G203*0%</f>
        <v>0</v>
      </c>
      <c r="I203" s="418">
        <f>(H203+G203)*10%</f>
        <v>238500</v>
      </c>
      <c r="J203" s="419">
        <f>H203+G203+I203</f>
        <v>2623500</v>
      </c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</row>
    <row r="204" spans="1:64" s="65" customFormat="1" ht="15.75">
      <c r="A204" s="263" t="s">
        <v>190</v>
      </c>
      <c r="B204" s="1047" t="s">
        <v>440</v>
      </c>
      <c r="C204" s="1048">
        <v>13000</v>
      </c>
      <c r="D204" s="416">
        <v>900</v>
      </c>
      <c r="E204" s="415" t="s">
        <v>192</v>
      </c>
      <c r="F204" s="417"/>
      <c r="G204" s="418"/>
      <c r="H204" s="418"/>
      <c r="I204" s="418"/>
      <c r="J204" s="419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</row>
    <row r="205" spans="1:64" s="65" customFormat="1" ht="15.75">
      <c r="A205" s="263" t="s">
        <v>191</v>
      </c>
      <c r="B205" s="1047" t="s">
        <v>461</v>
      </c>
      <c r="C205" s="1048">
        <v>114000</v>
      </c>
      <c r="D205" s="416">
        <v>900</v>
      </c>
      <c r="E205" s="415" t="s">
        <v>192</v>
      </c>
      <c r="F205" s="417">
        <f>C205*D205</f>
        <v>102600000</v>
      </c>
      <c r="G205" s="418">
        <f>F205</f>
        <v>102600000</v>
      </c>
      <c r="H205" s="418">
        <f>G205*0%</f>
        <v>0</v>
      </c>
      <c r="I205" s="418">
        <f>(H205+G205)*10%</f>
        <v>10260000</v>
      </c>
      <c r="J205" s="419">
        <f>H205+G205+I205</f>
        <v>112860000</v>
      </c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</row>
    <row r="206" spans="1:64" s="65" customFormat="1" ht="15.75">
      <c r="A206" s="263" t="s">
        <v>193</v>
      </c>
      <c r="B206" s="1047" t="s">
        <v>73</v>
      </c>
      <c r="C206" s="1048">
        <v>5000</v>
      </c>
      <c r="D206" s="416">
        <v>900</v>
      </c>
      <c r="E206" s="415" t="s">
        <v>192</v>
      </c>
      <c r="F206" s="417">
        <f>C206*D206</f>
        <v>4500000</v>
      </c>
      <c r="G206" s="418">
        <f>F206</f>
        <v>4500000</v>
      </c>
      <c r="H206" s="418">
        <f>G206*0%</f>
        <v>0</v>
      </c>
      <c r="I206" s="418">
        <f>(H206+G206)*10%</f>
        <v>450000</v>
      </c>
      <c r="J206" s="419">
        <f>H206+G206+I206</f>
        <v>4950000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</row>
    <row r="207" spans="1:64" s="65" customFormat="1" ht="15" customHeight="1">
      <c r="A207" s="263"/>
      <c r="B207" s="420" t="s">
        <v>12</v>
      </c>
      <c r="C207" s="454"/>
      <c r="D207" s="421"/>
      <c r="E207" s="421"/>
      <c r="F207" s="421"/>
      <c r="G207" s="421"/>
      <c r="H207" s="421"/>
      <c r="I207" s="421"/>
      <c r="J207" s="422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</row>
    <row r="208" spans="1:64" s="65" customFormat="1" ht="15.75">
      <c r="A208" s="263" t="s">
        <v>194</v>
      </c>
      <c r="B208" s="1047" t="s">
        <v>74</v>
      </c>
      <c r="C208" s="1048">
        <v>6000</v>
      </c>
      <c r="D208" s="416">
        <v>1800</v>
      </c>
      <c r="E208" s="415" t="s">
        <v>199</v>
      </c>
      <c r="F208" s="417">
        <f>C208*D208</f>
        <v>10800000</v>
      </c>
      <c r="G208" s="418">
        <f>F208</f>
        <v>10800000</v>
      </c>
      <c r="H208" s="418">
        <f>G208*0%</f>
        <v>0</v>
      </c>
      <c r="I208" s="418">
        <f>(H208+G208)*10%</f>
        <v>1080000</v>
      </c>
      <c r="J208" s="419">
        <f>H208+G208+I208</f>
        <v>11880000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</row>
    <row r="209" spans="1:64" s="65" customFormat="1" ht="15.75">
      <c r="A209" s="263" t="s">
        <v>195</v>
      </c>
      <c r="B209" s="1047" t="s">
        <v>460</v>
      </c>
      <c r="C209" s="1048">
        <v>240</v>
      </c>
      <c r="D209" s="416">
        <v>1800</v>
      </c>
      <c r="E209" s="415" t="s">
        <v>407</v>
      </c>
      <c r="F209" s="417">
        <f>C209*D209</f>
        <v>432000</v>
      </c>
      <c r="G209" s="418">
        <f>F209</f>
        <v>432000</v>
      </c>
      <c r="H209" s="418">
        <f>G209*0%</f>
        <v>0</v>
      </c>
      <c r="I209" s="418">
        <f>(H209+G209)*10%</f>
        <v>43200</v>
      </c>
      <c r="J209" s="419">
        <f>H209+G209+I209</f>
        <v>475200</v>
      </c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  <c r="BG209" s="172"/>
      <c r="BH209" s="172"/>
      <c r="BI209" s="172"/>
      <c r="BJ209" s="172"/>
      <c r="BK209" s="172"/>
      <c r="BL209" s="172"/>
    </row>
    <row r="210" spans="1:64" s="65" customFormat="1" ht="15.75">
      <c r="A210" s="263" t="s">
        <v>196</v>
      </c>
      <c r="B210" s="1047" t="s">
        <v>76</v>
      </c>
      <c r="C210" s="1048">
        <v>4000</v>
      </c>
      <c r="D210" s="416">
        <v>1800</v>
      </c>
      <c r="E210" s="415" t="s">
        <v>199</v>
      </c>
      <c r="F210" s="417">
        <f>C210*D210</f>
        <v>7200000</v>
      </c>
      <c r="G210" s="418">
        <f>F210</f>
        <v>7200000</v>
      </c>
      <c r="H210" s="418">
        <f>G210*0%</f>
        <v>0</v>
      </c>
      <c r="I210" s="418">
        <f>(H210+G210)*10%</f>
        <v>720000</v>
      </c>
      <c r="J210" s="419">
        <f>H210+G210+I210</f>
        <v>7920000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</row>
    <row r="211" spans="1:64" s="65" customFormat="1" ht="15" customHeight="1">
      <c r="A211" s="263"/>
      <c r="B211" s="420" t="s">
        <v>5</v>
      </c>
      <c r="C211" s="454"/>
      <c r="D211" s="421"/>
      <c r="E211" s="421"/>
      <c r="F211" s="421"/>
      <c r="G211" s="421"/>
      <c r="H211" s="421"/>
      <c r="I211" s="421"/>
      <c r="J211" s="422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</row>
    <row r="212" spans="1:64" s="65" customFormat="1" ht="15.75">
      <c r="A212" s="263" t="s">
        <v>197</v>
      </c>
      <c r="B212" s="1047" t="s">
        <v>441</v>
      </c>
      <c r="C212" s="1048">
        <v>1500</v>
      </c>
      <c r="D212" s="416">
        <v>800</v>
      </c>
      <c r="E212" s="415" t="s">
        <v>212</v>
      </c>
      <c r="F212" s="417">
        <f>C212*D212</f>
        <v>1200000</v>
      </c>
      <c r="G212" s="418">
        <f>F212</f>
        <v>1200000</v>
      </c>
      <c r="H212" s="418">
        <f>G212*0%</f>
        <v>0</v>
      </c>
      <c r="I212" s="418">
        <f>(H212+G212)*10%</f>
        <v>120000</v>
      </c>
      <c r="J212" s="419">
        <f>H212+G212+I212</f>
        <v>1320000</v>
      </c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</row>
    <row r="213" spans="1:64" s="65" customFormat="1" ht="15" customHeight="1">
      <c r="A213" s="263"/>
      <c r="B213" s="420" t="s">
        <v>8</v>
      </c>
      <c r="C213" s="454"/>
      <c r="D213" s="421"/>
      <c r="E213" s="421"/>
      <c r="F213" s="421"/>
      <c r="G213" s="421"/>
      <c r="H213" s="421"/>
      <c r="I213" s="421"/>
      <c r="J213" s="422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</row>
    <row r="214" spans="1:64" s="65" customFormat="1" ht="15.75">
      <c r="A214" s="263" t="s">
        <v>198</v>
      </c>
      <c r="B214" s="1047" t="s">
        <v>73</v>
      </c>
      <c r="C214" s="1048">
        <v>5000</v>
      </c>
      <c r="D214" s="416">
        <v>600</v>
      </c>
      <c r="E214" s="415" t="s">
        <v>386</v>
      </c>
      <c r="F214" s="417">
        <f>C214*D214</f>
        <v>3000000</v>
      </c>
      <c r="G214" s="418">
        <f>F214</f>
        <v>3000000</v>
      </c>
      <c r="H214" s="418">
        <f>G214*0%</f>
        <v>0</v>
      </c>
      <c r="I214" s="418">
        <f>(H214+G214)*10%</f>
        <v>300000</v>
      </c>
      <c r="J214" s="419">
        <f>H214+G214+I214</f>
        <v>3300000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</row>
    <row r="215" spans="1:64" s="65" customFormat="1" ht="15" customHeight="1">
      <c r="A215" s="263"/>
      <c r="B215" s="420" t="s">
        <v>9</v>
      </c>
      <c r="C215" s="454"/>
      <c r="D215" s="421"/>
      <c r="E215" s="421"/>
      <c r="F215" s="421"/>
      <c r="G215" s="421"/>
      <c r="H215" s="421"/>
      <c r="I215" s="421"/>
      <c r="J215" s="422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</row>
    <row r="216" spans="1:64" s="65" customFormat="1" ht="15.75">
      <c r="A216" s="263" t="s">
        <v>201</v>
      </c>
      <c r="B216" s="1047" t="s">
        <v>459</v>
      </c>
      <c r="C216" s="1048">
        <v>171000</v>
      </c>
      <c r="D216" s="416">
        <v>650</v>
      </c>
      <c r="E216" s="415" t="s">
        <v>210</v>
      </c>
      <c r="F216" s="417">
        <f>C216*D216</f>
        <v>111150000</v>
      </c>
      <c r="G216" s="418">
        <f>F216</f>
        <v>111150000</v>
      </c>
      <c r="H216" s="418">
        <f>G216*0%</f>
        <v>0</v>
      </c>
      <c r="I216" s="418">
        <f>(H216+G216)*10%</f>
        <v>11115000</v>
      </c>
      <c r="J216" s="419">
        <f>H216+G216+I216</f>
        <v>122265000</v>
      </c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  <c r="BE216" s="172"/>
      <c r="BF216" s="172"/>
      <c r="BG216" s="172"/>
      <c r="BH216" s="172"/>
      <c r="BI216" s="172"/>
      <c r="BJ216" s="172"/>
      <c r="BK216" s="172"/>
      <c r="BL216" s="172"/>
    </row>
    <row r="217" spans="1:64" ht="15.75">
      <c r="A217" s="286" t="s">
        <v>202</v>
      </c>
      <c r="B217" s="1047" t="s">
        <v>77</v>
      </c>
      <c r="C217" s="1048">
        <v>8000</v>
      </c>
      <c r="D217" s="416">
        <v>650</v>
      </c>
      <c r="E217" s="415" t="s">
        <v>210</v>
      </c>
      <c r="F217" s="417">
        <f>C217*D217</f>
        <v>5200000</v>
      </c>
      <c r="G217" s="418">
        <f>F217</f>
        <v>5200000</v>
      </c>
      <c r="H217" s="418">
        <f>G217*0%</f>
        <v>0</v>
      </c>
      <c r="I217" s="418">
        <f>(H217+G217)*10%</f>
        <v>520000</v>
      </c>
      <c r="J217" s="419">
        <f>H217+G217+I217</f>
        <v>5720000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</row>
    <row r="218" spans="1:64" s="64" customFormat="1" ht="7.5" customHeight="1">
      <c r="A218" s="304"/>
      <c r="B218" s="305"/>
      <c r="C218" s="456"/>
      <c r="D218" s="306"/>
      <c r="E218" s="305"/>
      <c r="F218" s="307"/>
      <c r="G218" s="308"/>
      <c r="H218" s="308"/>
      <c r="I218" s="308"/>
      <c r="J218" s="309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</row>
    <row r="219" spans="1:64" s="66" customFormat="1" ht="14.25" customHeight="1">
      <c r="A219" s="270"/>
      <c r="B219" s="441" t="s">
        <v>3</v>
      </c>
      <c r="C219" s="457"/>
      <c r="D219" s="261"/>
      <c r="E219" s="258"/>
      <c r="F219" s="63">
        <f>SUM(F171:F218)</f>
        <v>785617000</v>
      </c>
      <c r="G219" s="63">
        <f>SUM(G171:G218)</f>
        <v>785617000</v>
      </c>
      <c r="H219" s="63">
        <f>SUM(H171:H218)</f>
        <v>0</v>
      </c>
      <c r="I219" s="63">
        <f>SUM(I171:I218)</f>
        <v>78561700</v>
      </c>
      <c r="J219" s="251">
        <f>SUM(J171:J217)</f>
        <v>864178700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</row>
    <row r="220" spans="1:64" s="277" customFormat="1" ht="11.25" customHeight="1" thickBot="1">
      <c r="A220" s="282"/>
      <c r="B220" s="283"/>
      <c r="C220" s="461"/>
      <c r="D220" s="283"/>
      <c r="E220" s="283"/>
      <c r="F220" s="283"/>
      <c r="G220" s="283"/>
      <c r="H220" s="283"/>
      <c r="I220" s="283"/>
      <c r="J220" s="287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</row>
    <row r="221" spans="1:64" s="285" customFormat="1" ht="15" customHeight="1" thickBot="1">
      <c r="A221" s="425" t="s">
        <v>254</v>
      </c>
      <c r="B221" s="426" t="s">
        <v>14</v>
      </c>
      <c r="C221" s="451"/>
      <c r="D221" s="426"/>
      <c r="E221" s="426"/>
      <c r="F221" s="426"/>
      <c r="G221" s="426"/>
      <c r="H221" s="426"/>
      <c r="I221" s="426"/>
      <c r="J221" s="427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</row>
    <row r="222" spans="1:64" s="262" customFormat="1" ht="15" customHeight="1">
      <c r="A222" s="250"/>
      <c r="B222" s="434" t="s">
        <v>80</v>
      </c>
      <c r="C222" s="459"/>
      <c r="D222" s="435"/>
      <c r="E222" s="435"/>
      <c r="F222" s="435"/>
      <c r="G222" s="435"/>
      <c r="H222" s="435"/>
      <c r="I222" s="435"/>
      <c r="J222" s="436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</row>
    <row r="223" spans="1:64" s="64" customFormat="1" ht="15.75">
      <c r="A223" s="263" t="s">
        <v>164</v>
      </c>
      <c r="B223" s="1047" t="s">
        <v>289</v>
      </c>
      <c r="C223" s="1048">
        <f>(250*12)*1</f>
        <v>3000</v>
      </c>
      <c r="D223" s="416">
        <v>2100</v>
      </c>
      <c r="E223" s="415" t="s">
        <v>167</v>
      </c>
      <c r="F223" s="417">
        <f>C223*D223</f>
        <v>6300000</v>
      </c>
      <c r="G223" s="418">
        <f>F223</f>
        <v>6300000</v>
      </c>
      <c r="H223" s="418">
        <f>G223*0%</f>
        <v>0</v>
      </c>
      <c r="I223" s="418">
        <f>(H223+G223)*10%</f>
        <v>630000</v>
      </c>
      <c r="J223" s="437">
        <f>H223+G223+I223</f>
        <v>6930000</v>
      </c>
      <c r="K223" s="661"/>
      <c r="L223" s="661"/>
      <c r="M223" s="661"/>
      <c r="N223" s="661"/>
      <c r="O223" s="661"/>
      <c r="P223" s="661"/>
      <c r="Q223" s="661"/>
      <c r="R223" s="661"/>
      <c r="S223" s="661"/>
      <c r="T223" s="661"/>
      <c r="U223" s="661"/>
      <c r="V223" s="661"/>
      <c r="W223" s="661"/>
      <c r="X223" s="661"/>
      <c r="Y223" s="661"/>
      <c r="Z223" s="661"/>
      <c r="AA223" s="661"/>
      <c r="AB223" s="661"/>
      <c r="AC223" s="661"/>
      <c r="AD223" s="661"/>
      <c r="AE223" s="661"/>
      <c r="AF223" s="661"/>
      <c r="AG223" s="661"/>
      <c r="AH223" s="661"/>
      <c r="AI223" s="661"/>
      <c r="AJ223" s="661"/>
      <c r="AK223" s="661"/>
      <c r="AL223" s="661"/>
      <c r="AM223" s="661"/>
      <c r="AN223" s="661"/>
      <c r="AO223" s="661"/>
      <c r="AP223" s="661"/>
      <c r="AQ223" s="661"/>
      <c r="AR223" s="661"/>
      <c r="AS223" s="661"/>
      <c r="AT223" s="661"/>
      <c r="AU223" s="661"/>
      <c r="AV223" s="661"/>
      <c r="AW223" s="661"/>
      <c r="AX223" s="661"/>
      <c r="AY223" s="661"/>
      <c r="AZ223" s="661"/>
      <c r="BA223" s="661"/>
      <c r="BB223" s="661"/>
      <c r="BC223" s="661"/>
      <c r="BD223" s="661"/>
      <c r="BE223" s="661"/>
      <c r="BF223" s="661"/>
      <c r="BG223" s="661"/>
      <c r="BH223" s="661"/>
      <c r="BI223" s="661"/>
      <c r="BJ223" s="661"/>
      <c r="BK223" s="661"/>
      <c r="BL223" s="661"/>
    </row>
    <row r="224" spans="1:64" s="65" customFormat="1" ht="31.5">
      <c r="A224" s="263" t="s">
        <v>165</v>
      </c>
      <c r="B224" s="1047" t="s">
        <v>343</v>
      </c>
      <c r="C224" s="1048">
        <v>1</v>
      </c>
      <c r="D224" s="416">
        <v>9600000</v>
      </c>
      <c r="E224" s="415" t="s">
        <v>387</v>
      </c>
      <c r="F224" s="417">
        <f>C224*D224</f>
        <v>9600000</v>
      </c>
      <c r="G224" s="418">
        <f>F224</f>
        <v>9600000</v>
      </c>
      <c r="H224" s="418">
        <f>G224*0%</f>
        <v>0</v>
      </c>
      <c r="I224" s="418">
        <f>(H224+G224)*10%</f>
        <v>960000</v>
      </c>
      <c r="J224" s="419">
        <f>H224+G224+I224</f>
        <v>10560000</v>
      </c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</row>
    <row r="225" spans="1:64" s="64" customFormat="1" ht="15" customHeight="1">
      <c r="A225" s="263"/>
      <c r="B225" s="420" t="s">
        <v>83</v>
      </c>
      <c r="C225" s="454"/>
      <c r="D225" s="421"/>
      <c r="E225" s="421"/>
      <c r="F225" s="421"/>
      <c r="G225" s="421"/>
      <c r="H225" s="418"/>
      <c r="I225" s="421"/>
      <c r="J225" s="438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</row>
    <row r="226" spans="1:64" s="64" customFormat="1" ht="12" customHeight="1">
      <c r="A226" s="263" t="s">
        <v>165</v>
      </c>
      <c r="B226" s="1047" t="s">
        <v>222</v>
      </c>
      <c r="C226" s="1048">
        <f>2*10000</f>
        <v>20000</v>
      </c>
      <c r="D226" s="416">
        <v>50</v>
      </c>
      <c r="E226" s="415" t="s">
        <v>290</v>
      </c>
      <c r="F226" s="417">
        <f>C226*D226</f>
        <v>1000000</v>
      </c>
      <c r="G226" s="418">
        <f>F226</f>
        <v>1000000</v>
      </c>
      <c r="H226" s="418">
        <f>G226*0%</f>
        <v>0</v>
      </c>
      <c r="I226" s="418">
        <f>(H226+G226)*10%</f>
        <v>100000</v>
      </c>
      <c r="J226" s="437">
        <f>H226+G226+I226</f>
        <v>1100000</v>
      </c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  <c r="BE226" s="172"/>
      <c r="BF226" s="172"/>
      <c r="BG226" s="172"/>
      <c r="BH226" s="172"/>
      <c r="BI226" s="172"/>
      <c r="BJ226" s="172"/>
      <c r="BK226" s="172"/>
      <c r="BL226" s="172"/>
    </row>
    <row r="227" spans="1:64" s="64" customFormat="1" ht="15.75">
      <c r="A227" s="263" t="s">
        <v>166</v>
      </c>
      <c r="B227" s="1047" t="s">
        <v>235</v>
      </c>
      <c r="C227" s="1048">
        <v>1</v>
      </c>
      <c r="D227" s="416">
        <v>150000</v>
      </c>
      <c r="E227" s="415"/>
      <c r="F227" s="417">
        <f>C227*D227</f>
        <v>150000</v>
      </c>
      <c r="G227" s="418">
        <f>F227</f>
        <v>150000</v>
      </c>
      <c r="H227" s="418">
        <f>G227*0%</f>
        <v>0</v>
      </c>
      <c r="I227" s="418">
        <f>(H227+G227)*10%</f>
        <v>15000</v>
      </c>
      <c r="J227" s="437">
        <f>H227+G227+I227</f>
        <v>165000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</row>
    <row r="228" spans="1:64" s="64" customFormat="1" ht="15" customHeight="1">
      <c r="A228" s="263"/>
      <c r="B228" s="420" t="s">
        <v>141</v>
      </c>
      <c r="C228" s="454"/>
      <c r="D228" s="421"/>
      <c r="E228" s="421"/>
      <c r="F228" s="421"/>
      <c r="G228" s="421"/>
      <c r="H228" s="421"/>
      <c r="I228" s="421"/>
      <c r="J228" s="43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</row>
    <row r="229" spans="1:64" s="64" customFormat="1" ht="12" customHeight="1">
      <c r="A229" s="263" t="s">
        <v>168</v>
      </c>
      <c r="B229" s="1047" t="s">
        <v>145</v>
      </c>
      <c r="C229" s="1048">
        <f>17.5*10000</f>
        <v>175000</v>
      </c>
      <c r="D229" s="416">
        <v>5</v>
      </c>
      <c r="E229" s="415" t="s">
        <v>291</v>
      </c>
      <c r="F229" s="417">
        <f>C229*D229</f>
        <v>875000</v>
      </c>
      <c r="G229" s="418">
        <f>F229</f>
        <v>875000</v>
      </c>
      <c r="H229" s="418">
        <f>G229*0%</f>
        <v>0</v>
      </c>
      <c r="I229" s="418">
        <f>(H229+G229)*10%</f>
        <v>87500</v>
      </c>
      <c r="J229" s="437">
        <f>H229+G229+I229</f>
        <v>962500</v>
      </c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</row>
    <row r="230" spans="1:64" s="64" customFormat="1" ht="15" customHeight="1">
      <c r="A230" s="263"/>
      <c r="B230" s="420" t="s">
        <v>117</v>
      </c>
      <c r="C230" s="454"/>
      <c r="D230" s="421"/>
      <c r="E230" s="421"/>
      <c r="F230" s="421"/>
      <c r="G230" s="421"/>
      <c r="H230" s="421"/>
      <c r="I230" s="421"/>
      <c r="J230" s="438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</row>
    <row r="231" spans="1:64" s="64" customFormat="1" ht="15.75">
      <c r="A231" s="263" t="s">
        <v>169</v>
      </c>
      <c r="B231" s="1047" t="s">
        <v>126</v>
      </c>
      <c r="C231" s="1048">
        <v>350</v>
      </c>
      <c r="D231" s="416">
        <v>1500</v>
      </c>
      <c r="E231" s="415"/>
      <c r="F231" s="417">
        <f>C231*D231</f>
        <v>525000</v>
      </c>
      <c r="G231" s="418">
        <f>F231</f>
        <v>525000</v>
      </c>
      <c r="H231" s="418">
        <f>G231*0%</f>
        <v>0</v>
      </c>
      <c r="I231" s="418">
        <f>(H231+G231)*10%</f>
        <v>52500</v>
      </c>
      <c r="J231" s="437">
        <f>H231+G231+I231</f>
        <v>577500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</row>
    <row r="232" spans="1:64" s="64" customFormat="1" ht="15" customHeight="1">
      <c r="A232" s="263"/>
      <c r="B232" s="420" t="s">
        <v>119</v>
      </c>
      <c r="C232" s="454"/>
      <c r="D232" s="421"/>
      <c r="E232" s="421"/>
      <c r="F232" s="421"/>
      <c r="G232" s="421"/>
      <c r="H232" s="421"/>
      <c r="I232" s="421"/>
      <c r="J232" s="438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</row>
    <row r="233" spans="1:64" s="64" customFormat="1" ht="15.75">
      <c r="A233" s="263" t="s">
        <v>170</v>
      </c>
      <c r="B233" s="1047" t="s">
        <v>125</v>
      </c>
      <c r="C233" s="1048">
        <v>850</v>
      </c>
      <c r="D233" s="416">
        <v>1800</v>
      </c>
      <c r="E233" s="415"/>
      <c r="F233" s="417">
        <f>C233*D233</f>
        <v>1530000</v>
      </c>
      <c r="G233" s="418">
        <f>F233</f>
        <v>1530000</v>
      </c>
      <c r="H233" s="418">
        <f>G233*0%</f>
        <v>0</v>
      </c>
      <c r="I233" s="418">
        <f>(H233+G233)*10%</f>
        <v>153000</v>
      </c>
      <c r="J233" s="437">
        <f>H233+G233+I233</f>
        <v>1683000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</row>
    <row r="234" spans="1:64" s="64" customFormat="1" ht="15" customHeight="1">
      <c r="A234" s="263"/>
      <c r="B234" s="420" t="s">
        <v>123</v>
      </c>
      <c r="C234" s="454"/>
      <c r="D234" s="421"/>
      <c r="E234" s="421"/>
      <c r="F234" s="421"/>
      <c r="G234" s="421"/>
      <c r="H234" s="421"/>
      <c r="I234" s="421"/>
      <c r="J234" s="438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</row>
    <row r="235" spans="1:64" s="825" customFormat="1" ht="15.75">
      <c r="A235" s="816" t="s">
        <v>171</v>
      </c>
      <c r="B235" s="1062" t="s">
        <v>449</v>
      </c>
      <c r="C235" s="1063">
        <v>0</v>
      </c>
      <c r="D235" s="819">
        <v>2200</v>
      </c>
      <c r="E235" s="820" t="s">
        <v>410</v>
      </c>
      <c r="F235" s="821">
        <f>C235*D235</f>
        <v>0</v>
      </c>
      <c r="G235" s="822">
        <f>F235</f>
        <v>0</v>
      </c>
      <c r="H235" s="822">
        <f>G235*0%</f>
        <v>0</v>
      </c>
      <c r="I235" s="822">
        <f>(H235+G235)*10%</f>
        <v>0</v>
      </c>
      <c r="J235" s="827">
        <f>H235+G235+I235</f>
        <v>0</v>
      </c>
      <c r="K235" s="824"/>
      <c r="L235" s="824"/>
      <c r="M235" s="824"/>
      <c r="N235" s="824"/>
      <c r="O235" s="824"/>
      <c r="P235" s="824"/>
      <c r="Q235" s="824"/>
      <c r="R235" s="824"/>
      <c r="S235" s="824"/>
      <c r="T235" s="824"/>
      <c r="U235" s="824"/>
      <c r="V235" s="824"/>
      <c r="W235" s="824"/>
      <c r="X235" s="824"/>
      <c r="Y235" s="824"/>
      <c r="Z235" s="824"/>
      <c r="AA235" s="824"/>
      <c r="AB235" s="824"/>
      <c r="AC235" s="824"/>
      <c r="AD235" s="824"/>
      <c r="AE235" s="824"/>
      <c r="AF235" s="824"/>
      <c r="AG235" s="824"/>
      <c r="AH235" s="824"/>
      <c r="AI235" s="824"/>
      <c r="AJ235" s="824"/>
      <c r="AK235" s="824"/>
      <c r="AL235" s="824"/>
      <c r="AM235" s="824"/>
      <c r="AN235" s="824"/>
      <c r="AO235" s="824"/>
      <c r="AP235" s="824"/>
      <c r="AQ235" s="824"/>
      <c r="AR235" s="824"/>
      <c r="AS235" s="824"/>
      <c r="AT235" s="824"/>
      <c r="AU235" s="824"/>
      <c r="AV235" s="824"/>
      <c r="AW235" s="824"/>
      <c r="AX235" s="824"/>
      <c r="AY235" s="824"/>
      <c r="AZ235" s="824"/>
      <c r="BA235" s="824"/>
      <c r="BB235" s="824"/>
      <c r="BC235" s="824"/>
      <c r="BD235" s="824"/>
      <c r="BE235" s="824"/>
      <c r="BF235" s="824"/>
      <c r="BG235" s="824"/>
      <c r="BH235" s="824"/>
      <c r="BI235" s="824"/>
      <c r="BJ235" s="824"/>
      <c r="BK235" s="824"/>
      <c r="BL235" s="824"/>
    </row>
    <row r="236" spans="1:64" s="64" customFormat="1" ht="15" customHeight="1">
      <c r="A236" s="263"/>
      <c r="B236" s="420" t="s">
        <v>6</v>
      </c>
      <c r="C236" s="454"/>
      <c r="D236" s="439"/>
      <c r="E236" s="421"/>
      <c r="F236" s="417"/>
      <c r="G236" s="418"/>
      <c r="H236" s="418"/>
      <c r="I236" s="418"/>
      <c r="J236" s="437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</row>
    <row r="237" spans="1:64" s="825" customFormat="1" ht="15.75">
      <c r="A237" s="816" t="s">
        <v>173</v>
      </c>
      <c r="B237" s="1062" t="s">
        <v>448</v>
      </c>
      <c r="C237" s="1063">
        <v>0</v>
      </c>
      <c r="D237" s="819"/>
      <c r="E237" s="820" t="s">
        <v>410</v>
      </c>
      <c r="F237" s="821">
        <f>C237*D237</f>
        <v>0</v>
      </c>
      <c r="G237" s="822">
        <f>F237</f>
        <v>0</v>
      </c>
      <c r="H237" s="822">
        <f>G237*0%</f>
        <v>0</v>
      </c>
      <c r="I237" s="822">
        <f>(H237+G237)*10%</f>
        <v>0</v>
      </c>
      <c r="J237" s="827">
        <f>H237+G237+I237</f>
        <v>0</v>
      </c>
      <c r="K237" s="824"/>
      <c r="L237" s="824"/>
      <c r="M237" s="824"/>
      <c r="N237" s="824"/>
      <c r="O237" s="824"/>
      <c r="P237" s="824"/>
      <c r="Q237" s="824"/>
      <c r="R237" s="824"/>
      <c r="S237" s="824"/>
      <c r="T237" s="824"/>
      <c r="U237" s="824"/>
      <c r="V237" s="824"/>
      <c r="W237" s="824"/>
      <c r="X237" s="824"/>
      <c r="Y237" s="824"/>
      <c r="Z237" s="824"/>
      <c r="AA237" s="824"/>
      <c r="AB237" s="824"/>
      <c r="AC237" s="824"/>
      <c r="AD237" s="824"/>
      <c r="AE237" s="824"/>
      <c r="AF237" s="824"/>
      <c r="AG237" s="824"/>
      <c r="AH237" s="824"/>
      <c r="AI237" s="824"/>
      <c r="AJ237" s="824"/>
      <c r="AK237" s="824"/>
      <c r="AL237" s="824"/>
      <c r="AM237" s="824"/>
      <c r="AN237" s="824"/>
      <c r="AO237" s="824"/>
      <c r="AP237" s="824"/>
      <c r="AQ237" s="824"/>
      <c r="AR237" s="824"/>
      <c r="AS237" s="824"/>
      <c r="AT237" s="824"/>
      <c r="AU237" s="824"/>
      <c r="AV237" s="824"/>
      <c r="AW237" s="824"/>
      <c r="AX237" s="824"/>
      <c r="AY237" s="824"/>
      <c r="AZ237" s="824"/>
      <c r="BA237" s="824"/>
      <c r="BB237" s="824"/>
      <c r="BC237" s="824"/>
      <c r="BD237" s="824"/>
      <c r="BE237" s="824"/>
      <c r="BF237" s="824"/>
      <c r="BG237" s="824"/>
      <c r="BH237" s="824"/>
      <c r="BI237" s="824"/>
      <c r="BJ237" s="824"/>
      <c r="BK237" s="824"/>
      <c r="BL237" s="824"/>
    </row>
    <row r="238" spans="1:64" s="64" customFormat="1" ht="15" customHeight="1">
      <c r="A238" s="263"/>
      <c r="B238" s="420" t="s">
        <v>7</v>
      </c>
      <c r="C238" s="454"/>
      <c r="D238" s="439"/>
      <c r="E238" s="421"/>
      <c r="F238" s="417"/>
      <c r="G238" s="418"/>
      <c r="H238" s="418"/>
      <c r="I238" s="418"/>
      <c r="J238" s="437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</row>
    <row r="239" spans="1:64" s="64" customFormat="1" ht="15.75">
      <c r="A239" s="263" t="s">
        <v>174</v>
      </c>
      <c r="B239" s="1047" t="s">
        <v>148</v>
      </c>
      <c r="C239" s="1048">
        <v>1950</v>
      </c>
      <c r="D239" s="416">
        <v>105000</v>
      </c>
      <c r="E239" s="415" t="s">
        <v>223</v>
      </c>
      <c r="F239" s="417">
        <f>C239*D239</f>
        <v>204750000</v>
      </c>
      <c r="G239" s="418">
        <f>F239</f>
        <v>204750000</v>
      </c>
      <c r="H239" s="418">
        <f>G239*0%</f>
        <v>0</v>
      </c>
      <c r="I239" s="418">
        <f>(H239+G239)*10%</f>
        <v>20475000</v>
      </c>
      <c r="J239" s="437">
        <f>H239+G239+I239</f>
        <v>225225000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</row>
    <row r="240" spans="1:64" s="64" customFormat="1" ht="15" customHeight="1">
      <c r="A240" s="263"/>
      <c r="B240" s="420" t="s">
        <v>10</v>
      </c>
      <c r="C240" s="454"/>
      <c r="D240" s="439"/>
      <c r="E240" s="421"/>
      <c r="F240" s="417"/>
      <c r="G240" s="418"/>
      <c r="H240" s="418"/>
      <c r="I240" s="418"/>
      <c r="J240" s="437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s="825" customFormat="1" ht="21">
      <c r="A241" s="816" t="s">
        <v>176</v>
      </c>
      <c r="B241" s="1062" t="s">
        <v>224</v>
      </c>
      <c r="C241" s="1063">
        <v>0</v>
      </c>
      <c r="D241" s="819">
        <v>900</v>
      </c>
      <c r="E241" s="820" t="s">
        <v>262</v>
      </c>
      <c r="F241" s="821">
        <f>C241*D241</f>
        <v>0</v>
      </c>
      <c r="G241" s="822">
        <f>F241</f>
        <v>0</v>
      </c>
      <c r="H241" s="822">
        <f>G241*0%</f>
        <v>0</v>
      </c>
      <c r="I241" s="822">
        <f>(H241+G241)*10%</f>
        <v>0</v>
      </c>
      <c r="J241" s="827">
        <f>H241+G241+I241</f>
        <v>0</v>
      </c>
      <c r="K241" s="824"/>
      <c r="L241" s="824"/>
      <c r="M241" s="824"/>
      <c r="N241" s="824"/>
      <c r="O241" s="824"/>
      <c r="P241" s="824"/>
      <c r="Q241" s="824"/>
      <c r="R241" s="824"/>
      <c r="S241" s="824"/>
      <c r="T241" s="824"/>
      <c r="U241" s="824"/>
      <c r="V241" s="824"/>
      <c r="W241" s="824"/>
      <c r="X241" s="824"/>
      <c r="Y241" s="824"/>
      <c r="Z241" s="824"/>
      <c r="AA241" s="824"/>
      <c r="AB241" s="824"/>
      <c r="AC241" s="824"/>
      <c r="AD241" s="824"/>
      <c r="AE241" s="824"/>
      <c r="AF241" s="824"/>
      <c r="AG241" s="824"/>
      <c r="AH241" s="824"/>
      <c r="AI241" s="824"/>
      <c r="AJ241" s="824"/>
      <c r="AK241" s="824"/>
      <c r="AL241" s="824"/>
      <c r="AM241" s="824"/>
      <c r="AN241" s="824"/>
      <c r="AO241" s="824"/>
      <c r="AP241" s="824"/>
      <c r="AQ241" s="824"/>
      <c r="AR241" s="824"/>
      <c r="AS241" s="824"/>
      <c r="AT241" s="824"/>
      <c r="AU241" s="824"/>
      <c r="AV241" s="824"/>
      <c r="AW241" s="824"/>
      <c r="AX241" s="824"/>
      <c r="AY241" s="824"/>
      <c r="AZ241" s="824"/>
      <c r="BA241" s="824"/>
      <c r="BB241" s="824"/>
      <c r="BC241" s="824"/>
      <c r="BD241" s="824"/>
      <c r="BE241" s="824"/>
      <c r="BF241" s="824"/>
      <c r="BG241" s="824"/>
      <c r="BH241" s="824"/>
      <c r="BI241" s="824"/>
      <c r="BJ241" s="824"/>
      <c r="BK241" s="824"/>
      <c r="BL241" s="824"/>
    </row>
    <row r="242" spans="1:64" s="64" customFormat="1" ht="15" customHeight="1">
      <c r="A242" s="263"/>
      <c r="B242" s="420" t="s">
        <v>12</v>
      </c>
      <c r="C242" s="454"/>
      <c r="D242" s="439"/>
      <c r="E242" s="421"/>
      <c r="F242" s="417"/>
      <c r="G242" s="418"/>
      <c r="H242" s="418"/>
      <c r="I242" s="418"/>
      <c r="J242" s="437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</row>
    <row r="243" spans="1:64" s="64" customFormat="1" ht="15.75">
      <c r="A243" s="263" t="s">
        <v>178</v>
      </c>
      <c r="B243" s="1047" t="s">
        <v>264</v>
      </c>
      <c r="C243" s="1048">
        <v>3</v>
      </c>
      <c r="D243" s="416">
        <v>75000</v>
      </c>
      <c r="E243" s="415"/>
      <c r="F243" s="417">
        <f aca="true" t="shared" si="7" ref="F243:F249">C243*D243</f>
        <v>225000</v>
      </c>
      <c r="G243" s="418">
        <f aca="true" t="shared" si="8" ref="G243:G249">F243</f>
        <v>225000</v>
      </c>
      <c r="H243" s="418">
        <f aca="true" t="shared" si="9" ref="H243:H249">G243*0%</f>
        <v>0</v>
      </c>
      <c r="I243" s="418">
        <f aca="true" t="shared" si="10" ref="I243:I249">(H243+G243)*10%</f>
        <v>22500</v>
      </c>
      <c r="J243" s="437">
        <f aca="true" t="shared" si="11" ref="J243:J249">H243+G243+I243</f>
        <v>247500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</row>
    <row r="244" spans="1:64" s="64" customFormat="1" ht="15.75">
      <c r="A244" s="263" t="s">
        <v>179</v>
      </c>
      <c r="B244" s="1047" t="s">
        <v>265</v>
      </c>
      <c r="C244" s="1048">
        <v>1</v>
      </c>
      <c r="D244" s="416">
        <v>75000</v>
      </c>
      <c r="E244" s="415"/>
      <c r="F244" s="417">
        <f t="shared" si="7"/>
        <v>75000</v>
      </c>
      <c r="G244" s="418">
        <f t="shared" si="8"/>
        <v>75000</v>
      </c>
      <c r="H244" s="418">
        <f t="shared" si="9"/>
        <v>0</v>
      </c>
      <c r="I244" s="418">
        <f t="shared" si="10"/>
        <v>7500</v>
      </c>
      <c r="J244" s="437">
        <f t="shared" si="11"/>
        <v>82500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</row>
    <row r="245" spans="1:64" s="64" customFormat="1" ht="15.75">
      <c r="A245" s="263" t="s">
        <v>181</v>
      </c>
      <c r="B245" s="1047" t="s">
        <v>236</v>
      </c>
      <c r="C245" s="1048">
        <v>1</v>
      </c>
      <c r="D245" s="416">
        <v>75000</v>
      </c>
      <c r="E245" s="415"/>
      <c r="F245" s="417">
        <f t="shared" si="7"/>
        <v>75000</v>
      </c>
      <c r="G245" s="418">
        <f t="shared" si="8"/>
        <v>75000</v>
      </c>
      <c r="H245" s="418">
        <f t="shared" si="9"/>
        <v>0</v>
      </c>
      <c r="I245" s="418">
        <f t="shared" si="10"/>
        <v>7500</v>
      </c>
      <c r="J245" s="437">
        <f t="shared" si="11"/>
        <v>82500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</row>
    <row r="246" spans="1:64" s="64" customFormat="1" ht="15.75">
      <c r="A246" s="263" t="s">
        <v>182</v>
      </c>
      <c r="B246" s="1047" t="s">
        <v>237</v>
      </c>
      <c r="C246" s="1048">
        <v>150</v>
      </c>
      <c r="D246" s="416">
        <v>800</v>
      </c>
      <c r="E246" s="415" t="s">
        <v>263</v>
      </c>
      <c r="F246" s="417">
        <f t="shared" si="7"/>
        <v>120000</v>
      </c>
      <c r="G246" s="418">
        <f t="shared" si="8"/>
        <v>120000</v>
      </c>
      <c r="H246" s="418">
        <f t="shared" si="9"/>
        <v>0</v>
      </c>
      <c r="I246" s="418">
        <f t="shared" si="10"/>
        <v>12000</v>
      </c>
      <c r="J246" s="437">
        <f t="shared" si="11"/>
        <v>132000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</row>
    <row r="247" spans="1:64" s="64" customFormat="1" ht="15.75">
      <c r="A247" s="263" t="s">
        <v>183</v>
      </c>
      <c r="B247" s="1047" t="s">
        <v>237</v>
      </c>
      <c r="C247" s="1048">
        <v>200</v>
      </c>
      <c r="D247" s="416">
        <v>800</v>
      </c>
      <c r="E247" s="415" t="s">
        <v>263</v>
      </c>
      <c r="F247" s="417">
        <f t="shared" si="7"/>
        <v>160000</v>
      </c>
      <c r="G247" s="418">
        <f t="shared" si="8"/>
        <v>160000</v>
      </c>
      <c r="H247" s="418">
        <f t="shared" si="9"/>
        <v>0</v>
      </c>
      <c r="I247" s="418">
        <f t="shared" si="10"/>
        <v>16000</v>
      </c>
      <c r="J247" s="437">
        <f t="shared" si="11"/>
        <v>176000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</row>
    <row r="248" spans="1:64" s="64" customFormat="1" ht="15.75">
      <c r="A248" s="263" t="s">
        <v>184</v>
      </c>
      <c r="B248" s="1047" t="s">
        <v>390</v>
      </c>
      <c r="C248" s="1048">
        <v>500</v>
      </c>
      <c r="D248" s="416">
        <v>2000</v>
      </c>
      <c r="E248" s="415"/>
      <c r="F248" s="417">
        <f t="shared" si="7"/>
        <v>1000000</v>
      </c>
      <c r="G248" s="418">
        <f t="shared" si="8"/>
        <v>1000000</v>
      </c>
      <c r="H248" s="418">
        <f t="shared" si="9"/>
        <v>0</v>
      </c>
      <c r="I248" s="418">
        <f t="shared" si="10"/>
        <v>100000</v>
      </c>
      <c r="J248" s="437">
        <f t="shared" si="11"/>
        <v>1100000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</row>
    <row r="249" spans="1:64" s="64" customFormat="1" ht="15.75">
      <c r="A249" s="263" t="s">
        <v>185</v>
      </c>
      <c r="B249" s="1047" t="s">
        <v>238</v>
      </c>
      <c r="C249" s="1048">
        <v>9375</v>
      </c>
      <c r="D249" s="416">
        <v>75</v>
      </c>
      <c r="E249" s="415"/>
      <c r="F249" s="417">
        <f t="shared" si="7"/>
        <v>703125</v>
      </c>
      <c r="G249" s="418">
        <f t="shared" si="8"/>
        <v>703125</v>
      </c>
      <c r="H249" s="418">
        <f t="shared" si="9"/>
        <v>0</v>
      </c>
      <c r="I249" s="418">
        <f t="shared" si="10"/>
        <v>70312.5</v>
      </c>
      <c r="J249" s="437">
        <f t="shared" si="11"/>
        <v>773437.5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</row>
    <row r="250" spans="1:64" s="64" customFormat="1" ht="15" customHeight="1">
      <c r="A250" s="263"/>
      <c r="B250" s="420" t="s">
        <v>5</v>
      </c>
      <c r="C250" s="454"/>
      <c r="D250" s="439"/>
      <c r="E250" s="421"/>
      <c r="F250" s="417"/>
      <c r="G250" s="418"/>
      <c r="H250" s="418"/>
      <c r="I250" s="418"/>
      <c r="J250" s="437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</row>
    <row r="251" spans="1:64" s="64" customFormat="1" ht="15.75">
      <c r="A251" s="263" t="s">
        <v>186</v>
      </c>
      <c r="B251" s="1047" t="s">
        <v>249</v>
      </c>
      <c r="C251" s="1048">
        <v>680</v>
      </c>
      <c r="D251" s="416">
        <v>800</v>
      </c>
      <c r="E251" s="415"/>
      <c r="F251" s="417">
        <f>C251*D251</f>
        <v>544000</v>
      </c>
      <c r="G251" s="418">
        <f>F251</f>
        <v>544000</v>
      </c>
      <c r="H251" s="418">
        <f>G251*0%</f>
        <v>0</v>
      </c>
      <c r="I251" s="418">
        <f>(H251+G251)*10%</f>
        <v>54400</v>
      </c>
      <c r="J251" s="437">
        <f>H251+G251+I251</f>
        <v>598400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</row>
    <row r="252" spans="1:64" s="64" customFormat="1" ht="15" customHeight="1">
      <c r="A252" s="263"/>
      <c r="B252" s="420" t="s">
        <v>8</v>
      </c>
      <c r="C252" s="454"/>
      <c r="D252" s="439"/>
      <c r="E252" s="421"/>
      <c r="F252" s="417"/>
      <c r="G252" s="418"/>
      <c r="H252" s="418"/>
      <c r="I252" s="418"/>
      <c r="J252" s="437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</row>
    <row r="253" spans="1:64" s="64" customFormat="1" ht="15.75">
      <c r="A253" s="263" t="s">
        <v>187</v>
      </c>
      <c r="B253" s="1047" t="s">
        <v>266</v>
      </c>
      <c r="C253" s="1048">
        <v>910</v>
      </c>
      <c r="D253" s="416">
        <v>600</v>
      </c>
      <c r="E253" s="415" t="s">
        <v>331</v>
      </c>
      <c r="F253" s="417">
        <f>C253*D253</f>
        <v>546000</v>
      </c>
      <c r="G253" s="418">
        <f>F253</f>
        <v>546000</v>
      </c>
      <c r="H253" s="418">
        <f>G253*0%</f>
        <v>0</v>
      </c>
      <c r="I253" s="418">
        <f>(H253+G253)*10%</f>
        <v>54600</v>
      </c>
      <c r="J253" s="437">
        <f>H253+G253+I253</f>
        <v>600600</v>
      </c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</row>
    <row r="254" spans="1:64" s="64" customFormat="1" ht="7.5" customHeight="1">
      <c r="A254" s="304"/>
      <c r="B254" s="305"/>
      <c r="C254" s="456"/>
      <c r="D254" s="306"/>
      <c r="E254" s="305"/>
      <c r="F254" s="307"/>
      <c r="G254" s="308"/>
      <c r="H254" s="308"/>
      <c r="I254" s="308"/>
      <c r="J254" s="309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</row>
    <row r="255" spans="1:64" s="281" customFormat="1" ht="14.25" customHeight="1">
      <c r="A255" s="270"/>
      <c r="B255" s="441" t="s">
        <v>13</v>
      </c>
      <c r="C255" s="457"/>
      <c r="D255" s="261"/>
      <c r="E255" s="258"/>
      <c r="F255" s="63">
        <f>SUM(F223:F254)</f>
        <v>228178125</v>
      </c>
      <c r="G255" s="63">
        <f>SUM(G222:G253)</f>
        <v>228178125</v>
      </c>
      <c r="H255" s="63">
        <f>SUM(H222:H253)</f>
        <v>0</v>
      </c>
      <c r="I255" s="63">
        <f>SUM(I222:I253)</f>
        <v>22817812.5</v>
      </c>
      <c r="J255" s="63">
        <f>SUM(J222:J253)</f>
        <v>250995937.5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</row>
    <row r="256" spans="1:64" s="284" customFormat="1" ht="11.25" customHeight="1" thickBot="1">
      <c r="A256" s="282"/>
      <c r="B256" s="283"/>
      <c r="C256" s="461"/>
      <c r="D256" s="283"/>
      <c r="E256" s="283"/>
      <c r="F256" s="283"/>
      <c r="G256" s="283"/>
      <c r="H256" s="283"/>
      <c r="I256" s="283"/>
      <c r="J256" s="283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</row>
    <row r="257" spans="1:64" s="62" customFormat="1" ht="38.25" customHeight="1" thickBot="1">
      <c r="A257" s="302"/>
      <c r="B257" s="303" t="s">
        <v>226</v>
      </c>
      <c r="C257" s="463"/>
      <c r="D257" s="278"/>
      <c r="E257" s="279"/>
      <c r="F257" s="280">
        <f>F255+F219+F168+F100+F55</f>
        <v>2690300125</v>
      </c>
      <c r="G257" s="280">
        <f>G255+G219+G168+G100+G55</f>
        <v>2690300125</v>
      </c>
      <c r="H257" s="280">
        <f>H255+H219+H168+H100+H55</f>
        <v>0</v>
      </c>
      <c r="I257" s="280">
        <f>I255+I219+I168+I100+I55</f>
        <v>268830012.5</v>
      </c>
      <c r="J257" s="280">
        <f>J255+J219+J168+J100+J55+J8</f>
        <v>2997143857.5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</row>
    <row r="258" spans="1:64" s="68" customFormat="1" ht="12.75">
      <c r="A258" s="67"/>
      <c r="C258" s="464"/>
      <c r="D258" s="69"/>
      <c r="F258" s="69"/>
      <c r="G258" s="70"/>
      <c r="H258" s="70"/>
      <c r="I258" s="70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</row>
    <row r="259" spans="1:64" s="68" customFormat="1" ht="12.75">
      <c r="A259" s="71"/>
      <c r="B259" s="71"/>
      <c r="C259" s="465"/>
      <c r="D259" s="72"/>
      <c r="E259" s="71"/>
      <c r="F259" s="69"/>
      <c r="G259" s="70"/>
      <c r="H259" s="70"/>
      <c r="I259" s="70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</row>
    <row r="260" spans="11:64" ht="15.75"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</row>
    <row r="261" spans="2:64" ht="15.75">
      <c r="B261"/>
      <c r="C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</row>
    <row r="262" spans="2:64" ht="15.75">
      <c r="B262"/>
      <c r="C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</row>
    <row r="263" spans="3:64" s="68" customFormat="1" ht="12.75">
      <c r="C263" s="464"/>
      <c r="D263" s="69"/>
      <c r="F263" s="69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</row>
    <row r="264" spans="2:64" s="68" customFormat="1" ht="12.75">
      <c r="B264" s="71"/>
      <c r="C264" s="465"/>
      <c r="D264" s="72"/>
      <c r="E264" s="71"/>
      <c r="F264" s="69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</row>
    <row r="265" spans="2:64" s="68" customFormat="1" ht="12.75">
      <c r="B265" s="71"/>
      <c r="C265" s="465"/>
      <c r="D265" s="72"/>
      <c r="E265" s="71"/>
      <c r="F265" s="69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</row>
    <row r="266" spans="3:64" s="68" customFormat="1" ht="12.75">
      <c r="C266" s="464"/>
      <c r="D266" s="69"/>
      <c r="F266" s="69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</row>
    <row r="267" spans="2:6" s="68" customFormat="1" ht="12">
      <c r="B267" s="71"/>
      <c r="C267" s="465"/>
      <c r="D267" s="72"/>
      <c r="E267" s="71"/>
      <c r="F267" s="69"/>
    </row>
    <row r="268" spans="3:6" s="68" customFormat="1" ht="12">
      <c r="C268" s="464"/>
      <c r="D268" s="69"/>
      <c r="F268" s="69"/>
    </row>
    <row r="269" spans="2:6" s="68" customFormat="1" ht="12">
      <c r="B269" s="71"/>
      <c r="C269" s="465"/>
      <c r="D269" s="72"/>
      <c r="E269" s="71"/>
      <c r="F269" s="79"/>
    </row>
    <row r="270" spans="3:6" s="68" customFormat="1" ht="12">
      <c r="C270" s="464"/>
      <c r="D270" s="69"/>
      <c r="F270" s="79"/>
    </row>
    <row r="271" spans="3:6" s="68" customFormat="1" ht="12">
      <c r="C271" s="464"/>
      <c r="D271" s="69"/>
      <c r="F271" s="79"/>
    </row>
    <row r="272" spans="3:6" s="68" customFormat="1" ht="12">
      <c r="C272" s="464"/>
      <c r="D272" s="69"/>
      <c r="F272" s="69"/>
    </row>
    <row r="273" spans="2:6" s="68" customFormat="1" ht="12">
      <c r="B273" s="71"/>
      <c r="C273" s="465"/>
      <c r="D273" s="72"/>
      <c r="E273" s="71"/>
      <c r="F273" s="69"/>
    </row>
    <row r="274" spans="3:6" s="68" customFormat="1" ht="12">
      <c r="C274" s="464"/>
      <c r="D274" s="69"/>
      <c r="F274" s="69"/>
    </row>
    <row r="275" spans="2:6" s="68" customFormat="1" ht="12">
      <c r="B275" s="71"/>
      <c r="C275" s="465"/>
      <c r="D275" s="72"/>
      <c r="E275" s="71"/>
      <c r="F275" s="69"/>
    </row>
    <row r="276" spans="3:6" s="68" customFormat="1" ht="12">
      <c r="C276" s="464"/>
      <c r="D276" s="69"/>
      <c r="F276" s="69"/>
    </row>
    <row r="277" spans="2:6" s="68" customFormat="1" ht="12">
      <c r="B277" s="71"/>
      <c r="C277" s="465"/>
      <c r="D277" s="72"/>
      <c r="E277" s="71"/>
      <c r="F277" s="69"/>
    </row>
    <row r="278" spans="2:6" s="68" customFormat="1" ht="12">
      <c r="B278" s="71"/>
      <c r="C278" s="465"/>
      <c r="D278" s="72"/>
      <c r="E278" s="71"/>
      <c r="F278" s="69"/>
    </row>
    <row r="279" spans="2:6" s="68" customFormat="1" ht="12">
      <c r="B279" s="71"/>
      <c r="C279" s="465"/>
      <c r="D279" s="72"/>
      <c r="E279" s="71"/>
      <c r="F279" s="69"/>
    </row>
    <row r="280" spans="3:6" s="68" customFormat="1" ht="12">
      <c r="C280" s="464"/>
      <c r="D280" s="69"/>
      <c r="F280" s="69"/>
    </row>
    <row r="281" spans="2:6" s="68" customFormat="1" ht="12">
      <c r="B281" s="71"/>
      <c r="C281" s="465"/>
      <c r="D281" s="72"/>
      <c r="E281" s="71"/>
      <c r="F281" s="69"/>
    </row>
    <row r="282" spans="3:6" s="68" customFormat="1" ht="12">
      <c r="C282" s="464"/>
      <c r="D282" s="69"/>
      <c r="F282" s="69"/>
    </row>
    <row r="283" spans="2:6" s="68" customFormat="1" ht="12">
      <c r="B283" s="71"/>
      <c r="C283" s="465"/>
      <c r="D283" s="72"/>
      <c r="E283" s="71"/>
      <c r="F283" s="69"/>
    </row>
    <row r="284" spans="3:6" s="68" customFormat="1" ht="12">
      <c r="C284" s="464"/>
      <c r="D284" s="69"/>
      <c r="F284" s="69"/>
    </row>
    <row r="285" spans="3:6" s="68" customFormat="1" ht="12">
      <c r="C285" s="464"/>
      <c r="D285" s="69"/>
      <c r="F285" s="69"/>
    </row>
    <row r="286" spans="3:6" s="68" customFormat="1" ht="12">
      <c r="C286" s="464"/>
      <c r="D286" s="69"/>
      <c r="F286" s="69"/>
    </row>
    <row r="287" spans="3:6" s="68" customFormat="1" ht="12">
      <c r="C287" s="464"/>
      <c r="D287" s="69"/>
      <c r="F287" s="69"/>
    </row>
    <row r="288" spans="2:6" s="68" customFormat="1" ht="12">
      <c r="B288" s="71"/>
      <c r="C288" s="465"/>
      <c r="D288" s="72"/>
      <c r="E288" s="71"/>
      <c r="F288" s="69"/>
    </row>
    <row r="289" spans="2:6" s="68" customFormat="1" ht="12">
      <c r="B289" s="71"/>
      <c r="C289" s="465"/>
      <c r="D289" s="72"/>
      <c r="E289" s="71"/>
      <c r="F289" s="69"/>
    </row>
    <row r="290" spans="2:6" s="68" customFormat="1" ht="12">
      <c r="B290" s="71"/>
      <c r="C290" s="465"/>
      <c r="D290" s="72"/>
      <c r="E290" s="71"/>
      <c r="F290" s="69"/>
    </row>
    <row r="291" spans="2:6" s="68" customFormat="1" ht="12">
      <c r="B291" s="71"/>
      <c r="C291" s="465"/>
      <c r="D291" s="72"/>
      <c r="E291" s="71"/>
      <c r="F291" s="69"/>
    </row>
    <row r="292" spans="2:6" s="68" customFormat="1" ht="12">
      <c r="B292" s="71"/>
      <c r="C292" s="465"/>
      <c r="D292" s="72"/>
      <c r="E292" s="71"/>
      <c r="F292" s="69"/>
    </row>
    <row r="293" spans="3:6" s="68" customFormat="1" ht="12">
      <c r="C293" s="464"/>
      <c r="D293" s="69"/>
      <c r="F293" s="69"/>
    </row>
    <row r="294" spans="3:6" s="68" customFormat="1" ht="12">
      <c r="C294" s="464"/>
      <c r="D294" s="69"/>
      <c r="F294" s="69"/>
    </row>
    <row r="295" spans="3:6" s="68" customFormat="1" ht="12">
      <c r="C295" s="464"/>
      <c r="D295" s="69"/>
      <c r="F295" s="69"/>
    </row>
    <row r="296" spans="3:6" s="68" customFormat="1" ht="12">
      <c r="C296" s="464"/>
      <c r="D296" s="69"/>
      <c r="F296" s="69"/>
    </row>
    <row r="297" spans="3:6" s="68" customFormat="1" ht="12">
      <c r="C297" s="464"/>
      <c r="D297" s="69"/>
      <c r="F297" s="69"/>
    </row>
    <row r="298" spans="3:6" s="68" customFormat="1" ht="12">
      <c r="C298" s="464"/>
      <c r="D298" s="69"/>
      <c r="F298" s="69"/>
    </row>
    <row r="299" spans="3:6" s="68" customFormat="1" ht="12">
      <c r="C299" s="464"/>
      <c r="D299" s="69"/>
      <c r="F299" s="69"/>
    </row>
    <row r="300" spans="3:6" s="68" customFormat="1" ht="12">
      <c r="C300" s="464"/>
      <c r="D300" s="69"/>
      <c r="F300" s="69"/>
    </row>
    <row r="301" spans="3:6" s="68" customFormat="1" ht="12">
      <c r="C301" s="464"/>
      <c r="D301" s="69"/>
      <c r="F301" s="69"/>
    </row>
    <row r="302" spans="3:6" s="68" customFormat="1" ht="12">
      <c r="C302" s="464"/>
      <c r="D302" s="69"/>
      <c r="F302" s="69"/>
    </row>
    <row r="303" spans="3:6" s="68" customFormat="1" ht="12">
      <c r="C303" s="464"/>
      <c r="D303" s="69"/>
      <c r="F303" s="69"/>
    </row>
    <row r="304" spans="3:6" s="68" customFormat="1" ht="12">
      <c r="C304" s="464"/>
      <c r="D304" s="69"/>
      <c r="F304" s="69"/>
    </row>
    <row r="305" spans="3:6" s="68" customFormat="1" ht="12">
      <c r="C305" s="464"/>
      <c r="D305" s="69"/>
      <c r="F305" s="69"/>
    </row>
    <row r="306" spans="3:6" s="68" customFormat="1" ht="12">
      <c r="C306" s="464"/>
      <c r="D306" s="69"/>
      <c r="F306" s="69"/>
    </row>
    <row r="307" spans="3:6" s="68" customFormat="1" ht="12">
      <c r="C307" s="464"/>
      <c r="D307" s="69"/>
      <c r="F307" s="69"/>
    </row>
    <row r="308" spans="3:6" s="68" customFormat="1" ht="12">
      <c r="C308" s="464"/>
      <c r="D308" s="69"/>
      <c r="F308" s="69"/>
    </row>
    <row r="309" spans="3:6" s="68" customFormat="1" ht="12">
      <c r="C309" s="464"/>
      <c r="D309" s="69"/>
      <c r="F309" s="69"/>
    </row>
    <row r="310" spans="3:6" s="68" customFormat="1" ht="12">
      <c r="C310" s="464"/>
      <c r="D310" s="69"/>
      <c r="F310" s="69"/>
    </row>
    <row r="311" spans="3:6" s="68" customFormat="1" ht="12">
      <c r="C311" s="464"/>
      <c r="D311" s="69"/>
      <c r="F311" s="69"/>
    </row>
    <row r="312" spans="3:6" s="68" customFormat="1" ht="12">
      <c r="C312" s="464"/>
      <c r="D312" s="69"/>
      <c r="F312" s="69"/>
    </row>
    <row r="313" spans="3:6" s="68" customFormat="1" ht="12">
      <c r="C313" s="464"/>
      <c r="D313" s="69"/>
      <c r="F313" s="69"/>
    </row>
    <row r="314" spans="3:6" s="68" customFormat="1" ht="12">
      <c r="C314" s="464"/>
      <c r="D314" s="69"/>
      <c r="F314" s="69"/>
    </row>
    <row r="315" spans="3:6" s="68" customFormat="1" ht="12">
      <c r="C315" s="464"/>
      <c r="D315" s="69"/>
      <c r="F315" s="69"/>
    </row>
    <row r="316" spans="3:6" s="68" customFormat="1" ht="12">
      <c r="C316" s="464"/>
      <c r="D316" s="69"/>
      <c r="F316" s="69"/>
    </row>
    <row r="317" spans="3:6" s="68" customFormat="1" ht="12">
      <c r="C317" s="464"/>
      <c r="D317" s="69"/>
      <c r="F317" s="69"/>
    </row>
    <row r="318" spans="3:6" s="68" customFormat="1" ht="12">
      <c r="C318" s="464"/>
      <c r="D318" s="69"/>
      <c r="F318" s="69"/>
    </row>
    <row r="319" spans="3:6" s="68" customFormat="1" ht="12">
      <c r="C319" s="464"/>
      <c r="D319" s="69"/>
      <c r="F319" s="69"/>
    </row>
    <row r="320" spans="3:6" s="68" customFormat="1" ht="12">
      <c r="C320" s="464"/>
      <c r="D320" s="69"/>
      <c r="F320" s="69"/>
    </row>
    <row r="321" spans="3:6" s="68" customFormat="1" ht="12">
      <c r="C321" s="464"/>
      <c r="D321" s="69"/>
      <c r="F321" s="69"/>
    </row>
    <row r="322" spans="3:6" s="68" customFormat="1" ht="12">
      <c r="C322" s="464"/>
      <c r="D322" s="69"/>
      <c r="F322" s="69"/>
    </row>
    <row r="323" spans="3:6" s="68" customFormat="1" ht="12">
      <c r="C323" s="464"/>
      <c r="D323" s="69"/>
      <c r="F323" s="69"/>
    </row>
    <row r="324" spans="3:6" s="68" customFormat="1" ht="12">
      <c r="C324" s="464"/>
      <c r="D324" s="69"/>
      <c r="F324" s="69"/>
    </row>
    <row r="325" spans="3:6" s="68" customFormat="1" ht="12">
      <c r="C325" s="464"/>
      <c r="D325" s="69"/>
      <c r="F325" s="69"/>
    </row>
    <row r="326" spans="3:6" s="68" customFormat="1" ht="12">
      <c r="C326" s="464"/>
      <c r="D326" s="69"/>
      <c r="F326" s="69"/>
    </row>
    <row r="327" spans="3:6" s="68" customFormat="1" ht="12">
      <c r="C327" s="464"/>
      <c r="D327" s="69"/>
      <c r="F327" s="69"/>
    </row>
    <row r="328" spans="3:6" s="68" customFormat="1" ht="12">
      <c r="C328" s="464"/>
      <c r="D328" s="69"/>
      <c r="F328" s="69"/>
    </row>
    <row r="329" spans="3:6" s="68" customFormat="1" ht="12">
      <c r="C329" s="464"/>
      <c r="D329" s="69"/>
      <c r="F329" s="69"/>
    </row>
    <row r="330" spans="3:6" s="68" customFormat="1" ht="12">
      <c r="C330" s="464"/>
      <c r="D330" s="69"/>
      <c r="F330" s="69"/>
    </row>
    <row r="331" spans="3:6" s="68" customFormat="1" ht="12">
      <c r="C331" s="464"/>
      <c r="D331" s="69"/>
      <c r="F331" s="69"/>
    </row>
    <row r="332" spans="3:6" s="68" customFormat="1" ht="12">
      <c r="C332" s="464"/>
      <c r="D332" s="69"/>
      <c r="F332" s="69"/>
    </row>
    <row r="333" spans="3:6" s="68" customFormat="1" ht="12">
      <c r="C333" s="464"/>
      <c r="D333" s="69"/>
      <c r="F333" s="69"/>
    </row>
    <row r="334" spans="3:6" s="68" customFormat="1" ht="12">
      <c r="C334" s="464"/>
      <c r="D334" s="69"/>
      <c r="F334" s="69"/>
    </row>
    <row r="335" spans="3:6" s="68" customFormat="1" ht="12">
      <c r="C335" s="464"/>
      <c r="D335" s="69"/>
      <c r="F335" s="69"/>
    </row>
    <row r="336" spans="3:6" s="68" customFormat="1" ht="12">
      <c r="C336" s="464"/>
      <c r="D336" s="69"/>
      <c r="F336" s="69"/>
    </row>
    <row r="337" spans="3:6" s="68" customFormat="1" ht="12">
      <c r="C337" s="464"/>
      <c r="D337" s="69"/>
      <c r="F337" s="69"/>
    </row>
    <row r="338" spans="3:6" s="68" customFormat="1" ht="12">
      <c r="C338" s="464"/>
      <c r="D338" s="69"/>
      <c r="F338" s="69"/>
    </row>
    <row r="339" spans="3:6" s="68" customFormat="1" ht="12">
      <c r="C339" s="464"/>
      <c r="D339" s="69"/>
      <c r="F339" s="69"/>
    </row>
    <row r="340" spans="3:6" s="68" customFormat="1" ht="12">
      <c r="C340" s="464"/>
      <c r="D340" s="69"/>
      <c r="F340" s="69"/>
    </row>
    <row r="341" spans="3:6" s="68" customFormat="1" ht="12">
      <c r="C341" s="464"/>
      <c r="D341" s="69"/>
      <c r="F341" s="69"/>
    </row>
    <row r="342" spans="3:6" s="68" customFormat="1" ht="12">
      <c r="C342" s="464"/>
      <c r="D342" s="69"/>
      <c r="F342" s="69"/>
    </row>
    <row r="343" spans="3:6" s="68" customFormat="1" ht="12">
      <c r="C343" s="464"/>
      <c r="D343" s="69"/>
      <c r="F343" s="69"/>
    </row>
    <row r="344" spans="3:6" s="68" customFormat="1" ht="12">
      <c r="C344" s="464"/>
      <c r="D344" s="69"/>
      <c r="F344" s="69"/>
    </row>
    <row r="345" spans="3:6" s="68" customFormat="1" ht="12">
      <c r="C345" s="464"/>
      <c r="D345" s="69"/>
      <c r="F345" s="69"/>
    </row>
    <row r="346" spans="3:6" s="68" customFormat="1" ht="12">
      <c r="C346" s="464"/>
      <c r="D346" s="69"/>
      <c r="F346" s="69"/>
    </row>
    <row r="347" spans="3:6" s="68" customFormat="1" ht="12">
      <c r="C347" s="464"/>
      <c r="D347" s="69"/>
      <c r="F347" s="69"/>
    </row>
    <row r="348" spans="3:6" s="68" customFormat="1" ht="12">
      <c r="C348" s="464"/>
      <c r="D348" s="69"/>
      <c r="F348" s="69"/>
    </row>
    <row r="349" spans="3:6" s="68" customFormat="1" ht="12">
      <c r="C349" s="464"/>
      <c r="D349" s="69"/>
      <c r="F349" s="69"/>
    </row>
    <row r="350" spans="3:6" s="68" customFormat="1" ht="12">
      <c r="C350" s="464"/>
      <c r="D350" s="69"/>
      <c r="F350" s="69"/>
    </row>
    <row r="351" spans="3:6" s="68" customFormat="1" ht="12">
      <c r="C351" s="464"/>
      <c r="D351" s="69"/>
      <c r="F351" s="69"/>
    </row>
    <row r="352" spans="3:6" s="68" customFormat="1" ht="12">
      <c r="C352" s="464"/>
      <c r="D352" s="69"/>
      <c r="F352" s="69"/>
    </row>
    <row r="353" spans="3:6" s="68" customFormat="1" ht="12">
      <c r="C353" s="464"/>
      <c r="D353" s="69"/>
      <c r="F353" s="69"/>
    </row>
    <row r="354" spans="3:6" s="68" customFormat="1" ht="12">
      <c r="C354" s="464"/>
      <c r="D354" s="69"/>
      <c r="F354" s="69"/>
    </row>
    <row r="355" spans="3:6" s="68" customFormat="1" ht="12">
      <c r="C355" s="464"/>
      <c r="D355" s="69"/>
      <c r="F355" s="69"/>
    </row>
    <row r="356" spans="3:6" s="68" customFormat="1" ht="12">
      <c r="C356" s="464"/>
      <c r="D356" s="69"/>
      <c r="F356" s="69"/>
    </row>
    <row r="357" spans="3:6" s="68" customFormat="1" ht="12">
      <c r="C357" s="464"/>
      <c r="D357" s="69"/>
      <c r="F357" s="69"/>
    </row>
    <row r="358" spans="3:6" s="68" customFormat="1" ht="12">
      <c r="C358" s="464"/>
      <c r="D358" s="69"/>
      <c r="F358" s="69"/>
    </row>
    <row r="359" spans="3:6" s="68" customFormat="1" ht="12">
      <c r="C359" s="464"/>
      <c r="D359" s="69"/>
      <c r="F359" s="69"/>
    </row>
    <row r="360" spans="3:6" s="68" customFormat="1" ht="12">
      <c r="C360" s="464"/>
      <c r="D360" s="69"/>
      <c r="F360" s="69"/>
    </row>
    <row r="361" spans="3:6" s="68" customFormat="1" ht="12">
      <c r="C361" s="464"/>
      <c r="D361" s="69"/>
      <c r="F361" s="69"/>
    </row>
    <row r="362" spans="3:6" s="68" customFormat="1" ht="12">
      <c r="C362" s="464"/>
      <c r="D362" s="69"/>
      <c r="F362" s="69"/>
    </row>
    <row r="363" spans="3:6" s="68" customFormat="1" ht="12">
      <c r="C363" s="464"/>
      <c r="D363" s="69"/>
      <c r="F363" s="69"/>
    </row>
    <row r="364" spans="3:6" s="68" customFormat="1" ht="12">
      <c r="C364" s="464"/>
      <c r="D364" s="69"/>
      <c r="F364" s="69"/>
    </row>
    <row r="365" spans="3:6" s="68" customFormat="1" ht="12">
      <c r="C365" s="464"/>
      <c r="D365" s="69"/>
      <c r="F365" s="69"/>
    </row>
    <row r="366" spans="3:6" s="68" customFormat="1" ht="12">
      <c r="C366" s="464"/>
      <c r="D366" s="69"/>
      <c r="F366" s="69"/>
    </row>
    <row r="367" spans="3:6" s="68" customFormat="1" ht="12">
      <c r="C367" s="464"/>
      <c r="D367" s="69"/>
      <c r="F367" s="69"/>
    </row>
    <row r="368" spans="3:6" s="68" customFormat="1" ht="12">
      <c r="C368" s="464"/>
      <c r="D368" s="69"/>
      <c r="F368" s="69"/>
    </row>
    <row r="369" spans="3:6" s="68" customFormat="1" ht="12">
      <c r="C369" s="464"/>
      <c r="D369" s="69"/>
      <c r="F369" s="69"/>
    </row>
    <row r="370" spans="3:6" s="68" customFormat="1" ht="12">
      <c r="C370" s="464"/>
      <c r="D370" s="69"/>
      <c r="F370" s="69"/>
    </row>
    <row r="371" spans="3:6" s="68" customFormat="1" ht="12">
      <c r="C371" s="464"/>
      <c r="D371" s="69"/>
      <c r="F371" s="69"/>
    </row>
    <row r="372" spans="3:6" s="68" customFormat="1" ht="12">
      <c r="C372" s="464"/>
      <c r="D372" s="69"/>
      <c r="F372" s="69"/>
    </row>
    <row r="373" spans="3:6" s="68" customFormat="1" ht="12">
      <c r="C373" s="464"/>
      <c r="D373" s="69"/>
      <c r="F373" s="69"/>
    </row>
    <row r="374" spans="3:6" s="68" customFormat="1" ht="12">
      <c r="C374" s="464"/>
      <c r="D374" s="69"/>
      <c r="F374" s="69"/>
    </row>
    <row r="375" spans="3:6" s="68" customFormat="1" ht="12">
      <c r="C375" s="464"/>
      <c r="D375" s="69"/>
      <c r="F375" s="69"/>
    </row>
    <row r="376" spans="3:6" s="68" customFormat="1" ht="12">
      <c r="C376" s="464"/>
      <c r="D376" s="69"/>
      <c r="F376" s="69"/>
    </row>
    <row r="377" spans="3:6" s="68" customFormat="1" ht="12">
      <c r="C377" s="464"/>
      <c r="D377" s="69"/>
      <c r="F377" s="69"/>
    </row>
    <row r="378" spans="3:6" s="68" customFormat="1" ht="12">
      <c r="C378" s="464"/>
      <c r="D378" s="69"/>
      <c r="F378" s="69"/>
    </row>
    <row r="379" spans="3:6" s="68" customFormat="1" ht="12">
      <c r="C379" s="464"/>
      <c r="D379" s="69"/>
      <c r="F379" s="69"/>
    </row>
    <row r="380" spans="3:6" s="68" customFormat="1" ht="12">
      <c r="C380" s="464"/>
      <c r="D380" s="69"/>
      <c r="F380" s="69"/>
    </row>
    <row r="381" spans="3:6" s="68" customFormat="1" ht="12">
      <c r="C381" s="464"/>
      <c r="D381" s="69"/>
      <c r="F381" s="69"/>
    </row>
    <row r="382" spans="3:6" s="68" customFormat="1" ht="12">
      <c r="C382" s="464"/>
      <c r="D382" s="69"/>
      <c r="F382" s="69"/>
    </row>
    <row r="383" spans="3:6" s="68" customFormat="1" ht="12">
      <c r="C383" s="464"/>
      <c r="D383" s="69"/>
      <c r="F383" s="69"/>
    </row>
    <row r="384" spans="3:6" s="68" customFormat="1" ht="12">
      <c r="C384" s="464"/>
      <c r="D384" s="69"/>
      <c r="F384" s="69"/>
    </row>
    <row r="385" spans="3:6" s="68" customFormat="1" ht="12">
      <c r="C385" s="464"/>
      <c r="D385" s="69"/>
      <c r="F385" s="69"/>
    </row>
    <row r="386" spans="3:6" s="68" customFormat="1" ht="12">
      <c r="C386" s="464"/>
      <c r="D386" s="69"/>
      <c r="F386" s="69"/>
    </row>
    <row r="387" spans="3:6" s="68" customFormat="1" ht="12">
      <c r="C387" s="464"/>
      <c r="D387" s="69"/>
      <c r="F387" s="69"/>
    </row>
    <row r="388" spans="3:6" s="68" customFormat="1" ht="12">
      <c r="C388" s="464"/>
      <c r="D388" s="69"/>
      <c r="F388" s="69"/>
    </row>
    <row r="389" spans="3:6" s="68" customFormat="1" ht="12">
      <c r="C389" s="464"/>
      <c r="D389" s="69"/>
      <c r="F389" s="69"/>
    </row>
    <row r="390" spans="3:6" s="68" customFormat="1" ht="12">
      <c r="C390" s="464"/>
      <c r="D390" s="69"/>
      <c r="F390" s="69"/>
    </row>
    <row r="391" spans="3:6" s="68" customFormat="1" ht="12">
      <c r="C391" s="464"/>
      <c r="D391" s="69"/>
      <c r="F391" s="69"/>
    </row>
    <row r="392" spans="3:6" s="68" customFormat="1" ht="12">
      <c r="C392" s="464"/>
      <c r="D392" s="69"/>
      <c r="F392" s="69"/>
    </row>
    <row r="393" spans="3:6" s="68" customFormat="1" ht="12">
      <c r="C393" s="464"/>
      <c r="D393" s="69"/>
      <c r="F393" s="69"/>
    </row>
    <row r="394" spans="3:6" s="68" customFormat="1" ht="12">
      <c r="C394" s="464"/>
      <c r="D394" s="69"/>
      <c r="F394" s="69"/>
    </row>
    <row r="395" spans="3:6" s="68" customFormat="1" ht="12">
      <c r="C395" s="464"/>
      <c r="D395" s="69"/>
      <c r="F395" s="69"/>
    </row>
    <row r="396" spans="3:6" s="68" customFormat="1" ht="12">
      <c r="C396" s="464"/>
      <c r="D396" s="69"/>
      <c r="F396" s="69"/>
    </row>
    <row r="397" spans="3:6" s="68" customFormat="1" ht="12">
      <c r="C397" s="464"/>
      <c r="D397" s="69"/>
      <c r="F397" s="69"/>
    </row>
  </sheetData>
  <mergeCells count="4">
    <mergeCell ref="A55:B55"/>
    <mergeCell ref="A57:B57"/>
    <mergeCell ref="B7:E7"/>
    <mergeCell ref="B154:C154"/>
  </mergeCells>
  <printOptions/>
  <pageMargins left="1.62" right="0.75" top="0.81" bottom="0.42" header="0.5" footer="0.29"/>
  <pageSetup horizontalDpi="600" verticalDpi="600" orientation="portrait" paperSize="8" scale="41" r:id="rId2"/>
  <headerFooter alignWithMargins="0">
    <oddFooter>&amp;Lcopyright Turner &amp; Townsend Project Management Ltd&amp;C&amp;P&amp;R&amp;Z&amp;F</oddFooter>
  </headerFooter>
  <rowBreaks count="1" manualBreakCount="1">
    <brk id="169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9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1.7109375" style="24" customWidth="1"/>
    <col min="2" max="2" width="17.28125" style="24" customWidth="1"/>
    <col min="3" max="5" width="17.28125" style="25" customWidth="1"/>
    <col min="6" max="6" width="17.28125" style="26" bestFit="1" customWidth="1"/>
    <col min="7" max="7" width="17.28125" style="27" bestFit="1" customWidth="1"/>
    <col min="8" max="8" width="17.28125" style="27" customWidth="1"/>
    <col min="9" max="9" width="61.57421875" style="649" bestFit="1" customWidth="1"/>
    <col min="10" max="10" width="15.7109375" style="21" bestFit="1" customWidth="1"/>
    <col min="11" max="12" width="9.140625" style="9" customWidth="1"/>
    <col min="13" max="13" width="13.57421875" style="9" customWidth="1"/>
    <col min="14" max="14" width="9.140625" style="9" customWidth="1"/>
    <col min="15" max="15" width="15.421875" style="9" customWidth="1"/>
    <col min="16" max="16" width="9.140625" style="9" customWidth="1"/>
    <col min="17" max="17" width="10.8515625" style="9" customWidth="1"/>
    <col min="18" max="18" width="14.00390625" style="9" customWidth="1"/>
    <col min="19" max="20" width="15.7109375" style="9" customWidth="1"/>
    <col min="21" max="21" width="15.421875" style="9" customWidth="1"/>
    <col min="22" max="22" width="23.140625" style="3" customWidth="1"/>
    <col min="23" max="16384" width="9.140625" style="9" customWidth="1"/>
  </cols>
  <sheetData>
    <row r="1" spans="1:9" ht="15">
      <c r="A1" s="173"/>
      <c r="B1" s="174"/>
      <c r="C1" s="175"/>
      <c r="D1" s="175"/>
      <c r="E1" s="175"/>
      <c r="F1" s="176"/>
      <c r="G1" s="177"/>
      <c r="H1" s="177"/>
      <c r="I1" s="629"/>
    </row>
    <row r="2" spans="1:9" ht="18">
      <c r="A2" s="179" t="s">
        <v>257</v>
      </c>
      <c r="B2" s="180"/>
      <c r="C2" s="181"/>
      <c r="D2" s="181"/>
      <c r="E2" s="181"/>
      <c r="F2" s="182"/>
      <c r="G2" s="183"/>
      <c r="H2" s="183"/>
      <c r="I2" s="630"/>
    </row>
    <row r="3" spans="1:9" ht="15">
      <c r="A3" s="185"/>
      <c r="B3" s="180"/>
      <c r="C3" s="181"/>
      <c r="D3" s="181"/>
      <c r="E3" s="181"/>
      <c r="F3" s="182"/>
      <c r="G3" s="183"/>
      <c r="H3" s="183"/>
      <c r="I3" s="630"/>
    </row>
    <row r="4" spans="1:9" ht="15.75" thickBot="1">
      <c r="A4" s="186"/>
      <c r="B4" s="187"/>
      <c r="C4" s="188"/>
      <c r="D4" s="188"/>
      <c r="E4" s="188"/>
      <c r="F4" s="189"/>
      <c r="G4" s="190"/>
      <c r="H4" s="190"/>
      <c r="I4" s="631"/>
    </row>
    <row r="5" spans="1:22" s="2" customFormat="1" ht="29.25" customHeight="1">
      <c r="A5" s="323" t="s">
        <v>15</v>
      </c>
      <c r="B5" s="324"/>
      <c r="C5" s="325"/>
      <c r="D5" s="326"/>
      <c r="E5" s="325"/>
      <c r="F5" s="327"/>
      <c r="G5" s="326"/>
      <c r="H5" s="326"/>
      <c r="I5" s="632"/>
      <c r="J5" s="39"/>
      <c r="K5" s="40"/>
      <c r="L5" s="41"/>
      <c r="M5" s="41"/>
      <c r="N5" s="42"/>
      <c r="O5" s="43"/>
      <c r="P5" s="43"/>
      <c r="Q5" s="43"/>
      <c r="R5" s="44"/>
      <c r="S5" s="39"/>
      <c r="T5" s="39"/>
      <c r="U5" s="39"/>
      <c r="V5" s="45"/>
    </row>
    <row r="6" spans="1:22" s="2" customFormat="1" ht="54" customHeight="1" thickBot="1">
      <c r="A6" s="328" t="s">
        <v>255</v>
      </c>
      <c r="B6" s="329" t="s">
        <v>93</v>
      </c>
      <c r="C6" s="329" t="s">
        <v>92</v>
      </c>
      <c r="D6" s="329" t="s">
        <v>130</v>
      </c>
      <c r="E6" s="329" t="s">
        <v>94</v>
      </c>
      <c r="F6" s="329" t="s">
        <v>110</v>
      </c>
      <c r="G6" s="329" t="s">
        <v>109</v>
      </c>
      <c r="H6" s="329" t="s">
        <v>19</v>
      </c>
      <c r="I6" s="633" t="s">
        <v>131</v>
      </c>
      <c r="J6" s="45"/>
      <c r="K6" s="46"/>
      <c r="L6" s="47"/>
      <c r="M6" s="47"/>
      <c r="N6" s="47"/>
      <c r="O6" s="46"/>
      <c r="P6" s="46"/>
      <c r="Q6" s="46"/>
      <c r="R6" s="48"/>
      <c r="S6" s="45"/>
      <c r="T6" s="45"/>
      <c r="U6" s="45"/>
      <c r="V6" s="45"/>
    </row>
    <row r="7" spans="1:60" ht="15" customHeight="1" thickBot="1">
      <c r="A7" s="373" t="s">
        <v>0</v>
      </c>
      <c r="B7" s="322"/>
      <c r="C7" s="322"/>
      <c r="D7" s="322"/>
      <c r="E7" s="322"/>
      <c r="F7" s="322"/>
      <c r="G7" s="322"/>
      <c r="H7" s="322"/>
      <c r="I7" s="634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52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</row>
    <row r="8" spans="1:60" ht="15" customHeight="1">
      <c r="A8" s="201" t="s">
        <v>80</v>
      </c>
      <c r="B8" s="315"/>
      <c r="C8" s="315"/>
      <c r="D8" s="316"/>
      <c r="E8" s="317"/>
      <c r="F8" s="318"/>
      <c r="G8" s="319"/>
      <c r="H8" s="316"/>
      <c r="I8" s="635"/>
      <c r="J8" s="34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</row>
    <row r="9" spans="1:60" ht="15" customHeight="1">
      <c r="A9" s="223" t="s">
        <v>81</v>
      </c>
      <c r="B9" s="80"/>
      <c r="C9" s="80">
        <f>'1.Indicative Costs'!$J$12</f>
        <v>24948000</v>
      </c>
      <c r="D9" s="84"/>
      <c r="E9" s="81"/>
      <c r="F9" s="82"/>
      <c r="G9" s="83"/>
      <c r="H9" s="84"/>
      <c r="I9" s="321"/>
      <c r="J9" s="34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</row>
    <row r="10" spans="1:60" ht="15" customHeight="1">
      <c r="A10" s="223" t="s">
        <v>82</v>
      </c>
      <c r="B10" s="80"/>
      <c r="C10" s="80">
        <f>'1.Indicative Costs'!$J$13</f>
        <v>15840000</v>
      </c>
      <c r="D10" s="84"/>
      <c r="E10" s="81"/>
      <c r="F10" s="82"/>
      <c r="G10" s="83"/>
      <c r="H10" s="84"/>
      <c r="I10" s="321"/>
      <c r="J10" s="34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</row>
    <row r="11" spans="1:60" ht="15" customHeight="1">
      <c r="A11" s="222" t="s">
        <v>83</v>
      </c>
      <c r="B11" s="10"/>
      <c r="C11" s="11"/>
      <c r="D11" s="8"/>
      <c r="E11" s="6"/>
      <c r="F11" s="7"/>
      <c r="G11" s="55"/>
      <c r="H11" s="8"/>
      <c r="I11" s="636"/>
      <c r="J11" s="34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</row>
    <row r="12" spans="1:60" ht="15" customHeight="1">
      <c r="A12" s="223" t="s">
        <v>84</v>
      </c>
      <c r="B12" s="93"/>
      <c r="C12" s="93">
        <f>'1.Indicative Costs'!$J$15</f>
        <v>6435000</v>
      </c>
      <c r="D12" s="84"/>
      <c r="E12" s="81"/>
      <c r="F12" s="82"/>
      <c r="G12" s="83"/>
      <c r="H12" s="84"/>
      <c r="I12" s="321"/>
      <c r="J12" s="34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spans="1:60" ht="18.75" customHeight="1">
      <c r="A13" s="222" t="s">
        <v>85</v>
      </c>
      <c r="B13" s="11"/>
      <c r="C13" s="11"/>
      <c r="D13" s="8"/>
      <c r="E13" s="6"/>
      <c r="F13" s="7"/>
      <c r="G13" s="55"/>
      <c r="H13" s="8"/>
      <c r="I13" s="320" t="s">
        <v>137</v>
      </c>
      <c r="J13" s="34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</row>
    <row r="14" spans="1:60" ht="15" customHeight="1">
      <c r="A14" s="223" t="s">
        <v>275</v>
      </c>
      <c r="B14" s="80">
        <f>'1.Indicative Costs'!$J$113</f>
        <v>4105200</v>
      </c>
      <c r="C14" s="93">
        <f>'1.Indicative Costs'!$J$17</f>
        <v>8357800</v>
      </c>
      <c r="D14" s="84"/>
      <c r="E14" s="85"/>
      <c r="F14" s="82"/>
      <c r="G14" s="83"/>
      <c r="H14" s="84"/>
      <c r="I14" s="321" t="s">
        <v>132</v>
      </c>
      <c r="J14" s="34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</row>
    <row r="15" spans="1:60" ht="15" customHeight="1">
      <c r="A15" s="223" t="s">
        <v>274</v>
      </c>
      <c r="B15" s="93">
        <f>'1.Indicative Costs'!$J$114</f>
        <v>2200000</v>
      </c>
      <c r="C15" s="80">
        <f>'1.Indicative Costs'!$J$18*0.5</f>
        <v>1650000</v>
      </c>
      <c r="D15" s="84"/>
      <c r="E15" s="81"/>
      <c r="F15" s="82"/>
      <c r="G15" s="83"/>
      <c r="H15" s="84"/>
      <c r="I15" s="321" t="s">
        <v>313</v>
      </c>
      <c r="J15" s="34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</row>
    <row r="16" spans="1:60" ht="15" customHeight="1">
      <c r="A16" s="223" t="s">
        <v>320</v>
      </c>
      <c r="B16" s="93"/>
      <c r="C16" s="80">
        <f>'1.Indicative Costs'!$J$19</f>
        <v>2200000</v>
      </c>
      <c r="D16" s="84"/>
      <c r="E16" s="81"/>
      <c r="F16" s="82"/>
      <c r="G16" s="83"/>
      <c r="H16" s="84"/>
      <c r="I16" s="321"/>
      <c r="J16" s="34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</row>
    <row r="17" spans="1:60" ht="15" customHeight="1">
      <c r="A17" s="202" t="s">
        <v>240</v>
      </c>
      <c r="B17" s="80"/>
      <c r="C17" s="80"/>
      <c r="D17" s="84"/>
      <c r="E17" s="81"/>
      <c r="F17" s="82"/>
      <c r="G17" s="83"/>
      <c r="H17" s="84"/>
      <c r="I17" s="321"/>
      <c r="J17" s="34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</row>
    <row r="18" spans="1:60" ht="20.25" customHeight="1">
      <c r="A18" s="223" t="s">
        <v>86</v>
      </c>
      <c r="B18" s="80"/>
      <c r="C18" s="80">
        <f>'1.Indicative Costs'!$J$21*0.25</f>
        <v>550000</v>
      </c>
      <c r="D18" s="84"/>
      <c r="E18" s="81"/>
      <c r="F18" s="82"/>
      <c r="G18" s="83"/>
      <c r="H18" s="84"/>
      <c r="I18" s="514" t="s">
        <v>305</v>
      </c>
      <c r="J18" s="34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</row>
    <row r="19" spans="1:60" ht="15" customHeight="1">
      <c r="A19" s="202" t="s">
        <v>141</v>
      </c>
      <c r="B19" s="80"/>
      <c r="C19" s="80"/>
      <c r="D19" s="84"/>
      <c r="E19" s="81"/>
      <c r="F19" s="82"/>
      <c r="G19" s="83"/>
      <c r="H19" s="84"/>
      <c r="I19" s="321"/>
      <c r="J19" s="34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</row>
    <row r="20" spans="1:60" ht="15" customHeight="1">
      <c r="A20" s="223" t="s">
        <v>87</v>
      </c>
      <c r="B20" s="80"/>
      <c r="C20" s="80">
        <f>'1.Indicative Costs'!$J$24</f>
        <v>1100000</v>
      </c>
      <c r="D20" s="84"/>
      <c r="E20" s="81"/>
      <c r="F20" s="82"/>
      <c r="G20" s="83"/>
      <c r="H20" s="84"/>
      <c r="I20" s="321"/>
      <c r="J20" s="34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</row>
    <row r="21" spans="1:60" ht="15" customHeight="1">
      <c r="A21" s="202" t="s">
        <v>88</v>
      </c>
      <c r="B21" s="80"/>
      <c r="C21" s="80"/>
      <c r="D21" s="84"/>
      <c r="E21" s="81"/>
      <c r="F21" s="82"/>
      <c r="G21" s="83"/>
      <c r="H21" s="84"/>
      <c r="I21" s="628"/>
      <c r="J21" s="34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</row>
    <row r="22" spans="1:60" ht="15" customHeight="1">
      <c r="A22" s="223" t="s">
        <v>135</v>
      </c>
      <c r="B22" s="310">
        <f>'1.Indicative Costs'!$J$26</f>
        <v>8250000</v>
      </c>
      <c r="C22" s="80"/>
      <c r="D22" s="84"/>
      <c r="E22" s="81"/>
      <c r="F22" s="82"/>
      <c r="G22" s="83"/>
      <c r="H22" s="84"/>
      <c r="I22" s="628" t="s">
        <v>304</v>
      </c>
      <c r="J22" s="34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</row>
    <row r="23" spans="1:60" ht="15" customHeight="1">
      <c r="A23" s="223" t="s">
        <v>151</v>
      </c>
      <c r="B23" s="310">
        <f>'1.Indicative Costs'!$J$27</f>
        <v>5940000</v>
      </c>
      <c r="C23" s="80"/>
      <c r="D23" s="84"/>
      <c r="E23" s="81"/>
      <c r="F23" s="82"/>
      <c r="G23" s="83"/>
      <c r="H23" s="84"/>
      <c r="I23" s="628" t="s">
        <v>304</v>
      </c>
      <c r="J23" s="34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</row>
    <row r="24" spans="1:60" ht="15" customHeight="1">
      <c r="A24" s="202" t="s">
        <v>89</v>
      </c>
      <c r="B24" s="80"/>
      <c r="C24" s="80"/>
      <c r="D24" s="84"/>
      <c r="E24" s="81"/>
      <c r="F24" s="82"/>
      <c r="G24" s="83"/>
      <c r="H24" s="84"/>
      <c r="I24" s="321"/>
      <c r="J24" s="34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</row>
    <row r="25" spans="1:60" ht="15" customHeight="1">
      <c r="A25" s="223" t="s">
        <v>90</v>
      </c>
      <c r="B25" s="80">
        <f>'1.Indicative Costs'!$J$29</f>
        <v>2750000</v>
      </c>
      <c r="C25" s="80"/>
      <c r="D25" s="84"/>
      <c r="E25" s="81"/>
      <c r="F25" s="82"/>
      <c r="G25" s="83"/>
      <c r="H25" s="84"/>
      <c r="I25" s="321"/>
      <c r="J25" s="34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</row>
    <row r="26" spans="1:60" ht="15" customHeight="1">
      <c r="A26" s="202" t="s">
        <v>91</v>
      </c>
      <c r="B26" s="80"/>
      <c r="C26" s="80"/>
      <c r="D26" s="84"/>
      <c r="E26" s="81"/>
      <c r="F26" s="82"/>
      <c r="G26" s="83"/>
      <c r="H26" s="84"/>
      <c r="I26" s="321"/>
      <c r="J26" s="34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</row>
    <row r="27" spans="1:60" ht="15" customHeight="1" thickBot="1">
      <c r="A27" s="224" t="s">
        <v>392</v>
      </c>
      <c r="B27" s="155">
        <f>'1.Indicative Costs'!$J$31</f>
        <v>3300000</v>
      </c>
      <c r="C27" s="155"/>
      <c r="D27" s="159"/>
      <c r="E27" s="156"/>
      <c r="F27" s="157"/>
      <c r="G27" s="158"/>
      <c r="H27" s="159"/>
      <c r="I27" s="637"/>
      <c r="J27" s="34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</row>
    <row r="28" spans="1:60" ht="15" customHeight="1">
      <c r="A28" s="374" t="s">
        <v>95</v>
      </c>
      <c r="B28" s="311">
        <f aca="true" t="shared" si="0" ref="B28:G28">SUM(B8:B27)</f>
        <v>26545200</v>
      </c>
      <c r="C28" s="311">
        <f t="shared" si="0"/>
        <v>61080800</v>
      </c>
      <c r="D28" s="311">
        <f t="shared" si="0"/>
        <v>0</v>
      </c>
      <c r="E28" s="311">
        <f t="shared" si="0"/>
        <v>0</v>
      </c>
      <c r="F28" s="311">
        <f t="shared" si="0"/>
        <v>0</v>
      </c>
      <c r="G28" s="311">
        <f t="shared" si="0"/>
        <v>0</v>
      </c>
      <c r="H28" s="312">
        <f>SUM(B28:G28)</f>
        <v>87626000</v>
      </c>
      <c r="I28" s="638"/>
      <c r="J28" s="34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</row>
    <row r="29" spans="1:60" ht="15" customHeight="1" thickBot="1">
      <c r="A29" s="375" t="s">
        <v>152</v>
      </c>
      <c r="B29" s="313">
        <f>B28-$B$22-$B$23</f>
        <v>12355200</v>
      </c>
      <c r="C29" s="313">
        <f>C28</f>
        <v>61080800</v>
      </c>
      <c r="D29" s="313">
        <f>D28</f>
        <v>0</v>
      </c>
      <c r="E29" s="313">
        <f>E28</f>
        <v>0</v>
      </c>
      <c r="F29" s="313">
        <f>F28</f>
        <v>0</v>
      </c>
      <c r="G29" s="313">
        <f>G28</f>
        <v>0</v>
      </c>
      <c r="H29" s="314">
        <f>SUM(B29:G29)</f>
        <v>73436000</v>
      </c>
      <c r="I29" s="639"/>
      <c r="J29" s="34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</row>
    <row r="30" spans="1:60" ht="15" customHeight="1" thickBot="1">
      <c r="A30" s="330"/>
      <c r="B30" s="53"/>
      <c r="C30" s="53"/>
      <c r="D30" s="53"/>
      <c r="E30" s="53"/>
      <c r="F30" s="53"/>
      <c r="G30" s="53"/>
      <c r="H30" s="53"/>
      <c r="I30" s="640"/>
      <c r="J30" s="34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</row>
    <row r="31" spans="1:60" ht="15" customHeight="1" thickBot="1">
      <c r="A31" s="373" t="s">
        <v>1</v>
      </c>
      <c r="B31" s="322"/>
      <c r="C31" s="322"/>
      <c r="D31" s="322"/>
      <c r="E31" s="322"/>
      <c r="F31" s="322"/>
      <c r="G31" s="322"/>
      <c r="H31" s="322"/>
      <c r="I31" s="634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1"/>
      <c r="V31" s="52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</row>
    <row r="32" spans="1:60" ht="15" customHeight="1">
      <c r="A32" s="201" t="s">
        <v>80</v>
      </c>
      <c r="B32" s="315"/>
      <c r="C32" s="315"/>
      <c r="D32" s="316"/>
      <c r="E32" s="315"/>
      <c r="F32" s="315"/>
      <c r="G32" s="315"/>
      <c r="H32" s="331"/>
      <c r="I32" s="635"/>
      <c r="J32" s="34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</row>
    <row r="33" spans="1:60" ht="15" customHeight="1">
      <c r="A33" s="223" t="s">
        <v>418</v>
      </c>
      <c r="B33" s="80"/>
      <c r="C33" s="80"/>
      <c r="D33" s="84"/>
      <c r="E33" s="80">
        <f>'1.Indicative Costs'!$J$59</f>
        <v>22176000</v>
      </c>
      <c r="F33" s="80"/>
      <c r="G33" s="80"/>
      <c r="H33" s="87"/>
      <c r="I33" s="321"/>
      <c r="J33" s="34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</row>
    <row r="34" spans="1:60" ht="15" customHeight="1">
      <c r="A34" s="223" t="s">
        <v>419</v>
      </c>
      <c r="B34" s="80"/>
      <c r="C34" s="81"/>
      <c r="D34" s="84"/>
      <c r="E34" s="80">
        <f>'1.Indicative Costs'!$J$60</f>
        <v>21120000</v>
      </c>
      <c r="F34" s="82"/>
      <c r="G34" s="83"/>
      <c r="H34" s="87"/>
      <c r="I34" s="332" t="s">
        <v>324</v>
      </c>
      <c r="J34" s="34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2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</row>
    <row r="35" spans="1:60" ht="15" customHeight="1">
      <c r="A35" s="222" t="s">
        <v>83</v>
      </c>
      <c r="B35" s="5"/>
      <c r="C35" s="6"/>
      <c r="D35" s="8"/>
      <c r="E35" s="6"/>
      <c r="F35" s="7"/>
      <c r="G35" s="55"/>
      <c r="H35" s="13"/>
      <c r="I35" s="636"/>
      <c r="J35" s="34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</row>
    <row r="36" spans="1:60" ht="15" customHeight="1">
      <c r="A36" s="223" t="s">
        <v>153</v>
      </c>
      <c r="B36" s="80">
        <f>'1.Indicative Costs'!$J$62-$C$12</f>
        <v>11495000</v>
      </c>
      <c r="C36" s="80"/>
      <c r="D36" s="84"/>
      <c r="E36" s="80">
        <f>C12</f>
        <v>6435000</v>
      </c>
      <c r="F36" s="80"/>
      <c r="G36" s="80"/>
      <c r="H36" s="87"/>
      <c r="I36" s="321"/>
      <c r="J36" s="34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</row>
    <row r="37" spans="1:60" ht="15" customHeight="1">
      <c r="A37" s="223" t="s">
        <v>96</v>
      </c>
      <c r="B37" s="80">
        <f>'1.Indicative Costs'!$J$63</f>
        <v>2475000</v>
      </c>
      <c r="C37" s="80"/>
      <c r="D37" s="84"/>
      <c r="E37" s="80"/>
      <c r="F37" s="80"/>
      <c r="G37" s="80"/>
      <c r="H37" s="87"/>
      <c r="I37" s="321"/>
      <c r="J37" s="34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</row>
    <row r="38" spans="1:60" ht="15.75">
      <c r="A38" s="222" t="s">
        <v>85</v>
      </c>
      <c r="B38" s="11"/>
      <c r="C38" s="11"/>
      <c r="D38" s="8"/>
      <c r="E38" s="11"/>
      <c r="F38" s="11"/>
      <c r="G38" s="11"/>
      <c r="H38" s="13"/>
      <c r="I38" s="320" t="s">
        <v>137</v>
      </c>
      <c r="J38" s="3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</row>
    <row r="39" spans="1:60" ht="15" customHeight="1">
      <c r="A39" s="223" t="s">
        <v>97</v>
      </c>
      <c r="B39" s="80">
        <f>'1.Indicative Costs'!$J$115</f>
        <v>8184000</v>
      </c>
      <c r="C39" s="80"/>
      <c r="D39" s="84"/>
      <c r="E39" s="80">
        <f>'1.Indicative Costs'!$J$65</f>
        <v>12276000</v>
      </c>
      <c r="F39" s="80"/>
      <c r="G39" s="80"/>
      <c r="H39" s="87"/>
      <c r="I39" s="332" t="s">
        <v>136</v>
      </c>
      <c r="J39" s="34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</row>
    <row r="40" spans="1:60" ht="15" customHeight="1">
      <c r="A40" s="222" t="s">
        <v>240</v>
      </c>
      <c r="B40" s="11"/>
      <c r="C40" s="11"/>
      <c r="D40" s="8"/>
      <c r="E40" s="11"/>
      <c r="F40" s="11"/>
      <c r="G40" s="11"/>
      <c r="H40" s="13"/>
      <c r="I40" s="636"/>
      <c r="J40" s="34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2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</row>
    <row r="41" spans="1:60" ht="15" customHeight="1">
      <c r="A41" s="223" t="s">
        <v>98</v>
      </c>
      <c r="B41" s="80"/>
      <c r="C41" s="80"/>
      <c r="D41" s="84"/>
      <c r="E41" s="80">
        <f>'1.Indicative Costs'!$J$67</f>
        <v>550000</v>
      </c>
      <c r="F41" s="80"/>
      <c r="G41" s="80"/>
      <c r="H41" s="87"/>
      <c r="I41" s="321"/>
      <c r="J41" s="34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2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</row>
    <row r="42" spans="1:60" ht="15" customHeight="1">
      <c r="A42" s="223" t="s">
        <v>99</v>
      </c>
      <c r="B42" s="80"/>
      <c r="C42" s="80"/>
      <c r="D42" s="84"/>
      <c r="E42" s="80">
        <f>'1.Indicative Costs'!$J$68</f>
        <v>1650000</v>
      </c>
      <c r="F42" s="80"/>
      <c r="G42" s="80"/>
      <c r="H42" s="87"/>
      <c r="I42" s="321"/>
      <c r="J42" s="34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2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</row>
    <row r="43" spans="1:60" ht="15" customHeight="1">
      <c r="A43" s="202" t="s">
        <v>141</v>
      </c>
      <c r="B43" s="80"/>
      <c r="C43" s="80"/>
      <c r="D43" s="84"/>
      <c r="E43" s="80"/>
      <c r="F43" s="80"/>
      <c r="G43" s="80"/>
      <c r="H43" s="87"/>
      <c r="I43" s="321"/>
      <c r="J43" s="34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2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</row>
    <row r="44" spans="1:60" ht="15" customHeight="1" thickBot="1">
      <c r="A44" s="224" t="s">
        <v>100</v>
      </c>
      <c r="B44" s="155"/>
      <c r="C44" s="155"/>
      <c r="D44" s="159"/>
      <c r="E44" s="155">
        <f>'1.Indicative Costs'!$J$70</f>
        <v>1925000</v>
      </c>
      <c r="F44" s="155"/>
      <c r="G44" s="155"/>
      <c r="H44" s="160"/>
      <c r="I44" s="637"/>
      <c r="J44" s="34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</row>
    <row r="45" spans="1:60" ht="15" customHeight="1">
      <c r="A45" s="374" t="s">
        <v>95</v>
      </c>
      <c r="B45" s="334">
        <f aca="true" t="shared" si="1" ref="B45:G45">SUM(B32:B44)</f>
        <v>22154000</v>
      </c>
      <c r="C45" s="334">
        <f t="shared" si="1"/>
        <v>0</v>
      </c>
      <c r="D45" s="334">
        <f t="shared" si="1"/>
        <v>0</v>
      </c>
      <c r="E45" s="334">
        <f t="shared" si="1"/>
        <v>66132000</v>
      </c>
      <c r="F45" s="334">
        <f t="shared" si="1"/>
        <v>0</v>
      </c>
      <c r="G45" s="334">
        <f t="shared" si="1"/>
        <v>0</v>
      </c>
      <c r="H45" s="312">
        <f>SUM(B45:G45)</f>
        <v>88286000</v>
      </c>
      <c r="I45" s="638"/>
      <c r="J45" s="34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</row>
    <row r="46" spans="1:60" ht="15" customHeight="1" thickBot="1">
      <c r="A46" s="375" t="s">
        <v>152</v>
      </c>
      <c r="B46" s="333">
        <f aca="true" t="shared" si="2" ref="B46:G46">B45</f>
        <v>22154000</v>
      </c>
      <c r="C46" s="333">
        <f t="shared" si="2"/>
        <v>0</v>
      </c>
      <c r="D46" s="333">
        <f t="shared" si="2"/>
        <v>0</v>
      </c>
      <c r="E46" s="333">
        <f t="shared" si="2"/>
        <v>66132000</v>
      </c>
      <c r="F46" s="333">
        <f t="shared" si="2"/>
        <v>0</v>
      </c>
      <c r="G46" s="333">
        <f t="shared" si="2"/>
        <v>0</v>
      </c>
      <c r="H46" s="314">
        <f>SUM(B46:G46)</f>
        <v>88286000</v>
      </c>
      <c r="I46" s="641"/>
      <c r="J46" s="34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</row>
    <row r="47" spans="1:60" ht="15" customHeight="1" thickBot="1">
      <c r="A47" s="330"/>
      <c r="B47" s="53"/>
      <c r="C47" s="53"/>
      <c r="D47" s="53"/>
      <c r="E47" s="53"/>
      <c r="F47" s="53"/>
      <c r="G47" s="53"/>
      <c r="H47" s="53"/>
      <c r="I47" s="640"/>
      <c r="J47" s="34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</row>
    <row r="48" spans="1:60" ht="15" customHeight="1" thickBot="1">
      <c r="A48" s="373" t="s">
        <v>102</v>
      </c>
      <c r="B48" s="322"/>
      <c r="C48" s="322"/>
      <c r="D48" s="322"/>
      <c r="E48" s="322"/>
      <c r="F48" s="322"/>
      <c r="G48" s="322"/>
      <c r="H48" s="322"/>
      <c r="I48" s="634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1"/>
      <c r="V48" s="52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</row>
    <row r="49" spans="1:60" ht="15" customHeight="1">
      <c r="A49" s="337" t="s">
        <v>104</v>
      </c>
      <c r="B49" s="338"/>
      <c r="C49" s="339"/>
      <c r="D49" s="340"/>
      <c r="E49" s="339"/>
      <c r="F49" s="219"/>
      <c r="G49" s="341"/>
      <c r="H49" s="342"/>
      <c r="I49" s="642"/>
      <c r="J49" s="34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</row>
    <row r="50" spans="1:60" ht="15" customHeight="1">
      <c r="A50" s="223" t="s">
        <v>138</v>
      </c>
      <c r="B50" s="80">
        <f>'1.Indicative Costs'!$J$104</f>
        <v>34155000</v>
      </c>
      <c r="C50" s="81"/>
      <c r="D50" s="84"/>
      <c r="E50" s="81"/>
      <c r="F50" s="82"/>
      <c r="G50" s="83"/>
      <c r="H50" s="87"/>
      <c r="I50" s="628"/>
      <c r="J50" s="34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2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</row>
    <row r="51" spans="1:60" ht="15" customHeight="1">
      <c r="A51" s="223" t="s">
        <v>228</v>
      </c>
      <c r="B51" s="80">
        <f>'1.Indicative Costs'!$J$105</f>
        <v>5500000</v>
      </c>
      <c r="C51" s="81"/>
      <c r="D51" s="84"/>
      <c r="E51" s="81"/>
      <c r="F51" s="82"/>
      <c r="G51" s="83"/>
      <c r="H51" s="87"/>
      <c r="I51" s="628"/>
      <c r="J51" s="34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</row>
    <row r="52" spans="1:60" ht="15" customHeight="1">
      <c r="A52" s="202" t="s">
        <v>105</v>
      </c>
      <c r="B52" s="80"/>
      <c r="C52" s="81"/>
      <c r="D52" s="84"/>
      <c r="E52" s="81"/>
      <c r="F52" s="82"/>
      <c r="G52" s="83"/>
      <c r="H52" s="87"/>
      <c r="I52" s="628"/>
      <c r="J52" s="34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2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</row>
    <row r="53" spans="1:60" ht="15" customHeight="1">
      <c r="A53" s="223" t="s">
        <v>154</v>
      </c>
      <c r="B53" s="80">
        <f>'1.Indicative Costs'!$J$107</f>
        <v>7700000</v>
      </c>
      <c r="C53" s="81"/>
      <c r="D53" s="84"/>
      <c r="E53" s="81"/>
      <c r="F53" s="82"/>
      <c r="G53" s="83"/>
      <c r="H53" s="87"/>
      <c r="I53" s="628"/>
      <c r="J53" s="34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2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</row>
    <row r="54" spans="1:60" ht="15" customHeight="1">
      <c r="A54" s="202" t="s">
        <v>239</v>
      </c>
      <c r="B54" s="80"/>
      <c r="C54" s="81"/>
      <c r="D54" s="84"/>
      <c r="E54" s="81"/>
      <c r="F54" s="82"/>
      <c r="G54" s="83"/>
      <c r="H54" s="87"/>
      <c r="I54" s="628"/>
      <c r="J54" s="34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2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</row>
    <row r="55" spans="1:60" ht="15" customHeight="1">
      <c r="A55" s="223" t="s">
        <v>106</v>
      </c>
      <c r="B55" s="80">
        <f>'1.Indicative Costs'!$J$109</f>
        <v>11550000</v>
      </c>
      <c r="C55" s="81"/>
      <c r="D55" s="84"/>
      <c r="E55" s="81"/>
      <c r="F55" s="82"/>
      <c r="G55" s="83"/>
      <c r="H55" s="87"/>
      <c r="I55" s="628"/>
      <c r="J55" s="34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</row>
    <row r="56" spans="1:60" ht="15" customHeight="1">
      <c r="A56" s="202" t="s">
        <v>103</v>
      </c>
      <c r="B56" s="80"/>
      <c r="C56" s="81"/>
      <c r="D56" s="84"/>
      <c r="E56" s="81"/>
      <c r="F56" s="82"/>
      <c r="G56" s="83"/>
      <c r="H56" s="87"/>
      <c r="I56" s="628"/>
      <c r="J56" s="34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2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</row>
    <row r="57" spans="1:60" ht="15" customHeight="1">
      <c r="A57" s="223" t="s">
        <v>229</v>
      </c>
      <c r="B57" s="80">
        <f>'1.Indicative Costs'!$J$117</f>
        <v>4950000</v>
      </c>
      <c r="C57" s="91"/>
      <c r="D57" s="80"/>
      <c r="E57" s="81"/>
      <c r="F57" s="82"/>
      <c r="G57" s="83"/>
      <c r="H57" s="87"/>
      <c r="I57" s="628"/>
      <c r="J57" s="34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2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</row>
    <row r="58" spans="1:60" ht="15" customHeight="1">
      <c r="A58" s="202" t="s">
        <v>107</v>
      </c>
      <c r="B58" s="80"/>
      <c r="C58" s="81"/>
      <c r="D58" s="84"/>
      <c r="E58" s="81"/>
      <c r="F58" s="82"/>
      <c r="G58" s="83"/>
      <c r="H58" s="87"/>
      <c r="I58" s="628"/>
      <c r="J58" s="34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2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</row>
    <row r="59" spans="1:60" ht="15" customHeight="1">
      <c r="A59" s="223" t="s">
        <v>108</v>
      </c>
      <c r="B59" s="80">
        <f>'1.Indicative Costs'!$J$119</f>
        <v>14025000</v>
      </c>
      <c r="C59" s="81"/>
      <c r="D59" s="84"/>
      <c r="E59" s="81"/>
      <c r="F59" s="82"/>
      <c r="G59" s="83"/>
      <c r="H59" s="87"/>
      <c r="I59" s="628"/>
      <c r="J59" s="34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2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</row>
    <row r="60" spans="1:60" ht="15" customHeight="1">
      <c r="A60" s="202" t="s">
        <v>311</v>
      </c>
      <c r="B60" s="88"/>
      <c r="C60" s="81"/>
      <c r="D60" s="84"/>
      <c r="E60" s="81"/>
      <c r="F60" s="82"/>
      <c r="G60" s="83"/>
      <c r="H60" s="87"/>
      <c r="I60" s="628" t="s">
        <v>310</v>
      </c>
      <c r="J60" s="34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2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</row>
    <row r="61" spans="1:60" ht="15" customHeight="1">
      <c r="A61" s="223" t="s">
        <v>111</v>
      </c>
      <c r="B61" s="88">
        <v>0</v>
      </c>
      <c r="C61" s="81"/>
      <c r="D61" s="84"/>
      <c r="E61" s="81"/>
      <c r="F61" s="82"/>
      <c r="G61" s="83"/>
      <c r="H61" s="87"/>
      <c r="I61" s="628"/>
      <c r="J61" s="34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2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</row>
    <row r="62" spans="1:60" ht="15" customHeight="1">
      <c r="A62" s="223" t="s">
        <v>112</v>
      </c>
      <c r="B62" s="88">
        <v>0</v>
      </c>
      <c r="C62" s="81"/>
      <c r="D62" s="84"/>
      <c r="E62" s="81"/>
      <c r="F62" s="82"/>
      <c r="G62" s="83"/>
      <c r="H62" s="87"/>
      <c r="I62" s="628"/>
      <c r="J62" s="34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2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</row>
    <row r="63" spans="1:60" ht="15" customHeight="1">
      <c r="A63" s="223" t="s">
        <v>113</v>
      </c>
      <c r="B63" s="88">
        <v>0</v>
      </c>
      <c r="C63" s="81"/>
      <c r="D63" s="84"/>
      <c r="E63" s="81"/>
      <c r="F63" s="82"/>
      <c r="G63" s="83"/>
      <c r="H63" s="87"/>
      <c r="I63" s="628"/>
      <c r="J63" s="34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2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</row>
    <row r="64" spans="1:60" ht="15" customHeight="1">
      <c r="A64" s="223" t="s">
        <v>292</v>
      </c>
      <c r="B64" s="88">
        <v>0</v>
      </c>
      <c r="C64" s="81"/>
      <c r="D64" s="84"/>
      <c r="E64" s="81"/>
      <c r="F64" s="82"/>
      <c r="G64" s="83"/>
      <c r="H64" s="87"/>
      <c r="I64" s="628"/>
      <c r="J64" s="34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</row>
    <row r="65" spans="1:60" ht="15" customHeight="1">
      <c r="A65" s="202" t="s">
        <v>114</v>
      </c>
      <c r="B65" s="88"/>
      <c r="C65" s="81"/>
      <c r="D65" s="84"/>
      <c r="E65" s="81"/>
      <c r="F65" s="82"/>
      <c r="G65" s="83"/>
      <c r="H65" s="87"/>
      <c r="I65" s="628"/>
      <c r="J65" s="34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2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</row>
    <row r="66" spans="1:60" ht="15" customHeight="1">
      <c r="A66" s="223" t="s">
        <v>114</v>
      </c>
      <c r="B66" s="88">
        <v>0</v>
      </c>
      <c r="C66" s="81"/>
      <c r="D66" s="84"/>
      <c r="E66" s="81"/>
      <c r="F66" s="82"/>
      <c r="G66" s="83"/>
      <c r="H66" s="87"/>
      <c r="I66" s="628"/>
      <c r="J66" s="34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2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</row>
    <row r="67" spans="1:60" ht="15" customHeight="1">
      <c r="A67" s="202" t="s">
        <v>363</v>
      </c>
      <c r="B67" s="88"/>
      <c r="C67" s="81"/>
      <c r="D67" s="84"/>
      <c r="E67" s="81"/>
      <c r="F67" s="82"/>
      <c r="G67" s="83"/>
      <c r="H67" s="87"/>
      <c r="I67" s="628"/>
      <c r="J67" s="34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2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</row>
    <row r="68" spans="1:60" s="15" customFormat="1" ht="15" customHeight="1">
      <c r="A68" s="223" t="s">
        <v>364</v>
      </c>
      <c r="B68" s="88">
        <v>0</v>
      </c>
      <c r="C68" s="91"/>
      <c r="D68" s="657"/>
      <c r="E68" s="91"/>
      <c r="F68" s="666"/>
      <c r="G68" s="658"/>
      <c r="H68" s="659"/>
      <c r="I68" s="628"/>
      <c r="J68" s="34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2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</row>
    <row r="69" spans="1:60" ht="15" customHeight="1">
      <c r="A69" s="202" t="s">
        <v>241</v>
      </c>
      <c r="B69" s="88"/>
      <c r="C69" s="81"/>
      <c r="D69" s="84"/>
      <c r="E69" s="81"/>
      <c r="F69" s="82"/>
      <c r="G69" s="83"/>
      <c r="H69" s="87"/>
      <c r="I69" s="628"/>
      <c r="J69" s="34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2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</row>
    <row r="70" spans="1:60" ht="15" customHeight="1">
      <c r="A70" s="223" t="s">
        <v>140</v>
      </c>
      <c r="B70" s="88">
        <f>'1.Indicative Costs'!$J$166</f>
        <v>2000000</v>
      </c>
      <c r="C70" s="81"/>
      <c r="D70" s="84"/>
      <c r="E70" s="81"/>
      <c r="F70" s="82"/>
      <c r="G70" s="83"/>
      <c r="H70" s="87"/>
      <c r="I70" s="628"/>
      <c r="J70" s="34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2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</row>
    <row r="71" spans="1:60" ht="15" customHeight="1">
      <c r="A71" s="202" t="s">
        <v>144</v>
      </c>
      <c r="B71" s="88"/>
      <c r="C71" s="81"/>
      <c r="D71" s="84"/>
      <c r="E71" s="81"/>
      <c r="F71" s="82"/>
      <c r="G71" s="83"/>
      <c r="H71" s="87"/>
      <c r="I71" s="628"/>
      <c r="J71" s="34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2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</row>
    <row r="72" spans="1:60" ht="15" customHeight="1" thickBot="1">
      <c r="A72" s="343" t="s">
        <v>323</v>
      </c>
      <c r="B72" s="344">
        <f>'1.Indicative Costs'!$J$8</f>
        <v>4000000</v>
      </c>
      <c r="C72" s="345"/>
      <c r="D72" s="346"/>
      <c r="E72" s="345"/>
      <c r="F72" s="347"/>
      <c r="G72" s="348"/>
      <c r="H72" s="349"/>
      <c r="I72" s="643"/>
      <c r="J72" s="34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2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</row>
    <row r="73" spans="1:60" ht="15" customHeight="1">
      <c r="A73" s="374" t="s">
        <v>95</v>
      </c>
      <c r="B73" s="335">
        <f aca="true" t="shared" si="3" ref="B73:G73">SUM(B49:B72)</f>
        <v>83880000</v>
      </c>
      <c r="C73" s="335">
        <f t="shared" si="3"/>
        <v>0</v>
      </c>
      <c r="D73" s="335">
        <f t="shared" si="3"/>
        <v>0</v>
      </c>
      <c r="E73" s="335">
        <f t="shared" si="3"/>
        <v>0</v>
      </c>
      <c r="F73" s="335">
        <f t="shared" si="3"/>
        <v>0</v>
      </c>
      <c r="G73" s="335">
        <f t="shared" si="3"/>
        <v>0</v>
      </c>
      <c r="H73" s="312">
        <f>SUM(B73:G73)</f>
        <v>83880000</v>
      </c>
      <c r="I73" s="644"/>
      <c r="J73" s="34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</row>
    <row r="74" spans="1:60" ht="15" customHeight="1" thickBot="1">
      <c r="A74" s="375" t="s">
        <v>152</v>
      </c>
      <c r="B74" s="336">
        <f aca="true" t="shared" si="4" ref="B74:G74">B73</f>
        <v>83880000</v>
      </c>
      <c r="C74" s="336">
        <f t="shared" si="4"/>
        <v>0</v>
      </c>
      <c r="D74" s="336">
        <f t="shared" si="4"/>
        <v>0</v>
      </c>
      <c r="E74" s="336">
        <f t="shared" si="4"/>
        <v>0</v>
      </c>
      <c r="F74" s="336">
        <f t="shared" si="4"/>
        <v>0</v>
      </c>
      <c r="G74" s="336">
        <f t="shared" si="4"/>
        <v>0</v>
      </c>
      <c r="H74" s="314">
        <f>SUM(B74:G74)</f>
        <v>83880000</v>
      </c>
      <c r="I74" s="645"/>
      <c r="J74" s="34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2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</row>
    <row r="75" spans="1:60" ht="15" customHeight="1" thickBot="1">
      <c r="A75" s="330"/>
      <c r="B75" s="53"/>
      <c r="C75" s="53"/>
      <c r="D75" s="53"/>
      <c r="E75" s="53"/>
      <c r="F75" s="53"/>
      <c r="G75" s="53"/>
      <c r="H75" s="53"/>
      <c r="I75" s="640"/>
      <c r="J75" s="34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2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</row>
    <row r="76" spans="1:60" ht="15" customHeight="1" thickBot="1">
      <c r="A76" s="373" t="s">
        <v>2</v>
      </c>
      <c r="B76" s="322"/>
      <c r="C76" s="322"/>
      <c r="D76" s="322"/>
      <c r="E76" s="322"/>
      <c r="F76" s="322"/>
      <c r="G76" s="322"/>
      <c r="H76" s="322"/>
      <c r="I76" s="634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51"/>
      <c r="V76" s="52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</row>
    <row r="77" spans="1:60" ht="15" customHeight="1">
      <c r="A77" s="201" t="s">
        <v>80</v>
      </c>
      <c r="B77" s="350"/>
      <c r="C77" s="317"/>
      <c r="D77" s="316"/>
      <c r="E77" s="317"/>
      <c r="F77" s="351"/>
      <c r="G77" s="319"/>
      <c r="H77" s="331"/>
      <c r="I77" s="646"/>
      <c r="J77" s="34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2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</row>
    <row r="78" spans="1:60" ht="15" customHeight="1">
      <c r="A78" s="223" t="s">
        <v>284</v>
      </c>
      <c r="B78" s="80"/>
      <c r="C78" s="80"/>
      <c r="D78" s="84"/>
      <c r="E78" s="80"/>
      <c r="F78" s="80">
        <f>'1.Indicative Costs'!$J$172</f>
        <v>20790000</v>
      </c>
      <c r="G78" s="83"/>
      <c r="H78" s="87"/>
      <c r="I78" s="352" t="s">
        <v>344</v>
      </c>
      <c r="J78" s="34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2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</row>
    <row r="79" spans="1:60" ht="15" customHeight="1">
      <c r="A79" s="223" t="s">
        <v>101</v>
      </c>
      <c r="B79" s="89"/>
      <c r="C79" s="81"/>
      <c r="D79" s="84"/>
      <c r="E79" s="81"/>
      <c r="F79" s="88">
        <f>'1.Indicative Costs'!$J$173</f>
        <v>15840000</v>
      </c>
      <c r="G79" s="83"/>
      <c r="H79" s="87"/>
      <c r="I79" s="628" t="s">
        <v>345</v>
      </c>
      <c r="J79" s="34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2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</row>
    <row r="80" spans="1:60" ht="15" customHeight="1">
      <c r="A80" s="202" t="s">
        <v>83</v>
      </c>
      <c r="B80" s="89"/>
      <c r="C80" s="81"/>
      <c r="D80" s="84"/>
      <c r="E80" s="81"/>
      <c r="F80" s="88"/>
      <c r="G80" s="83"/>
      <c r="H80" s="87"/>
      <c r="I80" s="628"/>
      <c r="J80" s="34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2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</row>
    <row r="81" spans="1:60" ht="15" customHeight="1">
      <c r="A81" s="223" t="s">
        <v>115</v>
      </c>
      <c r="B81" s="89"/>
      <c r="C81" s="81"/>
      <c r="D81" s="84"/>
      <c r="E81" s="81"/>
      <c r="F81" s="88">
        <f>'1.Indicative Costs'!$J$175</f>
        <v>4400000</v>
      </c>
      <c r="G81" s="83"/>
      <c r="H81" s="87"/>
      <c r="I81" s="628"/>
      <c r="J81" s="34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2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</row>
    <row r="82" spans="1:60" ht="15" customHeight="1">
      <c r="A82" s="223" t="s">
        <v>286</v>
      </c>
      <c r="B82" s="89"/>
      <c r="C82" s="81"/>
      <c r="D82" s="84"/>
      <c r="E82" s="81"/>
      <c r="F82" s="88">
        <f>'1.Indicative Costs'!$J$176</f>
        <v>330000</v>
      </c>
      <c r="G82" s="83"/>
      <c r="H82" s="87"/>
      <c r="I82" s="628"/>
      <c r="J82" s="34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2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</row>
    <row r="83" spans="1:60" ht="15" customHeight="1">
      <c r="A83" s="223" t="s">
        <v>116</v>
      </c>
      <c r="B83" s="89"/>
      <c r="C83" s="81"/>
      <c r="D83" s="84"/>
      <c r="E83" s="81"/>
      <c r="F83" s="88">
        <f>'1.Indicative Costs'!$J$177</f>
        <v>660000</v>
      </c>
      <c r="G83" s="83"/>
      <c r="H83" s="87"/>
      <c r="I83" s="628"/>
      <c r="J83" s="34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2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</row>
    <row r="84" spans="1:60" ht="15" customHeight="1">
      <c r="A84" s="353" t="s">
        <v>104</v>
      </c>
      <c r="B84" s="12"/>
      <c r="C84" s="6"/>
      <c r="D84" s="8"/>
      <c r="E84" s="6"/>
      <c r="F84" s="7"/>
      <c r="G84" s="55"/>
      <c r="H84" s="13"/>
      <c r="I84" s="647"/>
      <c r="J84" s="34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2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</row>
    <row r="85" spans="1:60" ht="15" customHeight="1">
      <c r="A85" s="223" t="s">
        <v>139</v>
      </c>
      <c r="B85" s="88">
        <f>'1.Indicative Costs'!$J$180*0.4</f>
        <v>4048000</v>
      </c>
      <c r="C85" s="91"/>
      <c r="D85" s="84"/>
      <c r="E85" s="91"/>
      <c r="F85" s="88">
        <f>'1.Indicative Costs'!$J$180*0.6</f>
        <v>6072000</v>
      </c>
      <c r="G85" s="83"/>
      <c r="H85" s="87"/>
      <c r="I85" s="628"/>
      <c r="J85" s="34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2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</row>
    <row r="86" spans="1:60" ht="15" customHeight="1">
      <c r="A86" s="202" t="s">
        <v>141</v>
      </c>
      <c r="B86" s="89"/>
      <c r="C86" s="91"/>
      <c r="D86" s="84"/>
      <c r="E86" s="91"/>
      <c r="F86" s="88"/>
      <c r="G86" s="83"/>
      <c r="H86" s="87"/>
      <c r="I86" s="628"/>
      <c r="J86" s="34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2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</row>
    <row r="87" spans="1:60" ht="15" customHeight="1">
      <c r="A87" s="223" t="s">
        <v>100</v>
      </c>
      <c r="B87" s="89"/>
      <c r="C87" s="91"/>
      <c r="D87" s="84"/>
      <c r="E87" s="91"/>
      <c r="F87" s="88">
        <f>'1.Indicative Costs'!$J$184</f>
        <v>1925000</v>
      </c>
      <c r="G87" s="83"/>
      <c r="H87" s="87"/>
      <c r="I87" s="628"/>
      <c r="J87" s="34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2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</row>
    <row r="88" spans="1:60" ht="15" customHeight="1">
      <c r="A88" s="202" t="s">
        <v>117</v>
      </c>
      <c r="B88" s="89"/>
      <c r="C88" s="91"/>
      <c r="D88" s="84"/>
      <c r="E88" s="91"/>
      <c r="F88" s="88"/>
      <c r="G88" s="83"/>
      <c r="H88" s="87"/>
      <c r="I88" s="628"/>
      <c r="J88" s="34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2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</row>
    <row r="89" spans="1:60" ht="15" customHeight="1">
      <c r="A89" s="223" t="s">
        <v>118</v>
      </c>
      <c r="B89" s="89"/>
      <c r="C89" s="91"/>
      <c r="D89" s="84"/>
      <c r="E89" s="91"/>
      <c r="F89" s="88">
        <f>'1.Indicative Costs'!$J$186</f>
        <v>2475000</v>
      </c>
      <c r="G89" s="83"/>
      <c r="H89" s="87"/>
      <c r="I89" s="628"/>
      <c r="J89" s="34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2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</row>
    <row r="90" spans="1:60" s="15" customFormat="1" ht="15" customHeight="1">
      <c r="A90" s="202" t="s">
        <v>119</v>
      </c>
      <c r="B90" s="89"/>
      <c r="C90" s="91"/>
      <c r="D90" s="657"/>
      <c r="E90" s="91"/>
      <c r="F90" s="88"/>
      <c r="G90" s="658"/>
      <c r="H90" s="659"/>
      <c r="I90" s="628"/>
      <c r="J90" s="34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2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</row>
    <row r="91" spans="1:60" s="15" customFormat="1" ht="15" customHeight="1">
      <c r="A91" s="223" t="s">
        <v>288</v>
      </c>
      <c r="B91" s="89"/>
      <c r="C91" s="91"/>
      <c r="D91" s="657"/>
      <c r="E91" s="91"/>
      <c r="F91" s="88">
        <f>'1.Indicative Costs'!$J$188*0</f>
        <v>0</v>
      </c>
      <c r="G91" s="658"/>
      <c r="H91" s="659"/>
      <c r="I91" s="628"/>
      <c r="J91" s="34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2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</row>
    <row r="92" spans="1:60" ht="15" customHeight="1">
      <c r="A92" s="202" t="s">
        <v>121</v>
      </c>
      <c r="B92" s="89"/>
      <c r="C92" s="91"/>
      <c r="D92" s="84"/>
      <c r="E92" s="91"/>
      <c r="F92" s="88"/>
      <c r="G92" s="83"/>
      <c r="H92" s="87"/>
      <c r="I92" s="628"/>
      <c r="J92" s="34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2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</row>
    <row r="93" spans="1:60" ht="15" customHeight="1">
      <c r="A93" s="223" t="s">
        <v>122</v>
      </c>
      <c r="B93" s="89"/>
      <c r="C93" s="91"/>
      <c r="D93" s="84"/>
      <c r="E93" s="91"/>
      <c r="F93" s="88">
        <f>'1.Indicative Costs'!$J$190</f>
        <v>2200000</v>
      </c>
      <c r="G93" s="83"/>
      <c r="H93" s="87"/>
      <c r="I93" s="628"/>
      <c r="J93" s="34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2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</row>
    <row r="94" spans="1:60" ht="15" customHeight="1">
      <c r="A94" s="202" t="s">
        <v>123</v>
      </c>
      <c r="B94" s="89"/>
      <c r="C94" s="91"/>
      <c r="D94" s="84"/>
      <c r="E94" s="91"/>
      <c r="F94" s="88"/>
      <c r="G94" s="83"/>
      <c r="H94" s="87"/>
      <c r="I94" s="628"/>
      <c r="J94" s="34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2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</row>
    <row r="95" spans="1:60" ht="15" customHeight="1">
      <c r="A95" s="223" t="s">
        <v>124</v>
      </c>
      <c r="B95" s="89"/>
      <c r="C95" s="91"/>
      <c r="D95" s="84"/>
      <c r="E95" s="91"/>
      <c r="F95" s="88">
        <v>0</v>
      </c>
      <c r="G95" s="83"/>
      <c r="H95" s="87"/>
      <c r="I95" s="352" t="s">
        <v>142</v>
      </c>
      <c r="J95" s="34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2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</row>
    <row r="96" spans="1:60" ht="15" customHeight="1" thickBot="1">
      <c r="A96" s="224" t="s">
        <v>143</v>
      </c>
      <c r="B96" s="161"/>
      <c r="C96" s="156"/>
      <c r="D96" s="159"/>
      <c r="E96" s="156"/>
      <c r="F96" s="162">
        <f>'1.Indicative Costs'!$J$195</f>
        <v>3300000</v>
      </c>
      <c r="G96" s="158"/>
      <c r="H96" s="160"/>
      <c r="I96" s="354" t="s">
        <v>233</v>
      </c>
      <c r="J96" s="34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</row>
    <row r="97" spans="1:60" ht="15" customHeight="1">
      <c r="A97" s="374" t="s">
        <v>95</v>
      </c>
      <c r="B97" s="335">
        <f aca="true" t="shared" si="5" ref="B97:G97">SUM(B77:B96)</f>
        <v>4048000</v>
      </c>
      <c r="C97" s="335">
        <f t="shared" si="5"/>
        <v>0</v>
      </c>
      <c r="D97" s="335">
        <f t="shared" si="5"/>
        <v>0</v>
      </c>
      <c r="E97" s="335">
        <f t="shared" si="5"/>
        <v>0</v>
      </c>
      <c r="F97" s="335">
        <f t="shared" si="5"/>
        <v>57992000</v>
      </c>
      <c r="G97" s="335">
        <f t="shared" si="5"/>
        <v>0</v>
      </c>
      <c r="H97" s="312">
        <f>SUM(B97:G97)</f>
        <v>62040000</v>
      </c>
      <c r="I97" s="644"/>
      <c r="J97" s="34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2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</row>
    <row r="98" spans="1:60" ht="15" customHeight="1" thickBot="1">
      <c r="A98" s="375" t="s">
        <v>152</v>
      </c>
      <c r="B98" s="336">
        <f aca="true" t="shared" si="6" ref="B98:G98">B97</f>
        <v>4048000</v>
      </c>
      <c r="C98" s="336">
        <f t="shared" si="6"/>
        <v>0</v>
      </c>
      <c r="D98" s="336">
        <f t="shared" si="6"/>
        <v>0</v>
      </c>
      <c r="E98" s="336">
        <f t="shared" si="6"/>
        <v>0</v>
      </c>
      <c r="F98" s="336">
        <f t="shared" si="6"/>
        <v>57992000</v>
      </c>
      <c r="G98" s="336">
        <f t="shared" si="6"/>
        <v>0</v>
      </c>
      <c r="H98" s="314">
        <f>SUM(B98:G98)</f>
        <v>62040000</v>
      </c>
      <c r="I98" s="645"/>
      <c r="J98" s="34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2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</row>
    <row r="99" spans="1:60" ht="15" customHeight="1" thickBot="1">
      <c r="A99" s="355"/>
      <c r="B99" s="195"/>
      <c r="C99" s="195"/>
      <c r="D99" s="195"/>
      <c r="E99" s="195"/>
      <c r="F99" s="195"/>
      <c r="G99" s="195"/>
      <c r="H99" s="195"/>
      <c r="I99" s="648"/>
      <c r="J99" s="34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2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</row>
    <row r="100" spans="1:60" ht="15" customHeight="1" thickBot="1">
      <c r="A100" s="373" t="s">
        <v>14</v>
      </c>
      <c r="B100" s="777"/>
      <c r="C100" s="777"/>
      <c r="D100" s="777"/>
      <c r="E100" s="777"/>
      <c r="F100" s="777"/>
      <c r="G100" s="777"/>
      <c r="H100" s="777"/>
      <c r="I100" s="778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51"/>
      <c r="V100" s="52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</row>
    <row r="101" spans="1:60" ht="15" customHeight="1">
      <c r="A101" s="353" t="s">
        <v>80</v>
      </c>
      <c r="B101" s="12"/>
      <c r="C101" s="6"/>
      <c r="D101" s="8"/>
      <c r="E101" s="6"/>
      <c r="F101" s="14"/>
      <c r="G101" s="55"/>
      <c r="H101" s="13"/>
      <c r="I101" s="647"/>
      <c r="J101" s="34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2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</row>
    <row r="102" spans="1:60" ht="15" customHeight="1">
      <c r="A102" s="223" t="s">
        <v>289</v>
      </c>
      <c r="B102" s="89"/>
      <c r="C102" s="81"/>
      <c r="D102" s="84"/>
      <c r="E102" s="81"/>
      <c r="F102" s="88"/>
      <c r="G102" s="83">
        <f>'1.Indicative Costs'!$J$223</f>
        <v>6930000</v>
      </c>
      <c r="H102" s="87"/>
      <c r="I102" s="352" t="s">
        <v>234</v>
      </c>
      <c r="J102" s="34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2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</row>
    <row r="103" spans="1:60" ht="15" customHeight="1">
      <c r="A103" s="223" t="s">
        <v>101</v>
      </c>
      <c r="B103" s="89"/>
      <c r="C103" s="81"/>
      <c r="D103" s="84"/>
      <c r="E103" s="81"/>
      <c r="F103" s="88"/>
      <c r="G103" s="88">
        <f>'1.Indicative Costs'!$J$224</f>
        <v>10560000</v>
      </c>
      <c r="H103" s="87"/>
      <c r="I103" s="628" t="s">
        <v>346</v>
      </c>
      <c r="J103" s="34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2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</row>
    <row r="104" spans="1:60" ht="15" customHeight="1">
      <c r="A104" s="202" t="s">
        <v>83</v>
      </c>
      <c r="B104" s="89"/>
      <c r="C104" s="81"/>
      <c r="D104" s="84"/>
      <c r="E104" s="81"/>
      <c r="F104" s="88"/>
      <c r="G104" s="83"/>
      <c r="H104" s="87"/>
      <c r="I104" s="628"/>
      <c r="J104" s="34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</row>
    <row r="105" spans="1:60" ht="15" customHeight="1">
      <c r="A105" s="223" t="s">
        <v>147</v>
      </c>
      <c r="B105" s="89"/>
      <c r="C105" s="81"/>
      <c r="D105" s="84"/>
      <c r="E105" s="81"/>
      <c r="F105" s="88"/>
      <c r="G105" s="83">
        <f>'1.Indicative Costs'!$J$226</f>
        <v>1100000</v>
      </c>
      <c r="H105" s="87"/>
      <c r="I105" s="628"/>
      <c r="J105" s="34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2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</row>
    <row r="106" spans="1:60" ht="15" customHeight="1">
      <c r="A106" s="202" t="s">
        <v>141</v>
      </c>
      <c r="B106" s="89"/>
      <c r="C106" s="81"/>
      <c r="D106" s="84"/>
      <c r="E106" s="81"/>
      <c r="F106" s="88"/>
      <c r="G106" s="83"/>
      <c r="H106" s="87"/>
      <c r="I106" s="628"/>
      <c r="J106" s="34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2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</row>
    <row r="107" spans="1:60" ht="15" customHeight="1">
      <c r="A107" s="223" t="s">
        <v>145</v>
      </c>
      <c r="B107" s="89"/>
      <c r="C107" s="81"/>
      <c r="D107" s="84"/>
      <c r="E107" s="81"/>
      <c r="F107" s="88"/>
      <c r="G107" s="83">
        <f>'1.Indicative Costs'!$J$229</f>
        <v>962500</v>
      </c>
      <c r="H107" s="87"/>
      <c r="I107" s="352" t="s">
        <v>146</v>
      </c>
      <c r="J107" s="34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2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</row>
    <row r="108" spans="1:60" ht="15" customHeight="1">
      <c r="A108" s="222" t="s">
        <v>117</v>
      </c>
      <c r="B108" s="12"/>
      <c r="C108" s="6"/>
      <c r="D108" s="8"/>
      <c r="E108" s="6"/>
      <c r="F108" s="14"/>
      <c r="G108" s="55"/>
      <c r="H108" s="13"/>
      <c r="I108" s="647"/>
      <c r="J108" s="34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</row>
    <row r="109" spans="1:60" ht="15" customHeight="1">
      <c r="A109" s="223" t="s">
        <v>126</v>
      </c>
      <c r="B109" s="89"/>
      <c r="C109" s="81"/>
      <c r="D109" s="84"/>
      <c r="E109" s="81"/>
      <c r="F109" s="88"/>
      <c r="G109" s="93">
        <f>'1.Indicative Costs'!$J$231</f>
        <v>577500</v>
      </c>
      <c r="H109" s="87"/>
      <c r="I109" s="628"/>
      <c r="J109" s="34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</row>
    <row r="110" spans="1:60" ht="15" customHeight="1">
      <c r="A110" s="202" t="s">
        <v>119</v>
      </c>
      <c r="B110" s="89"/>
      <c r="C110" s="81"/>
      <c r="D110" s="84"/>
      <c r="E110" s="81"/>
      <c r="F110" s="88"/>
      <c r="G110" s="83"/>
      <c r="H110" s="87"/>
      <c r="I110" s="628"/>
      <c r="J110" s="34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</row>
    <row r="111" spans="1:60" ht="15" customHeight="1" thickBot="1">
      <c r="A111" s="224" t="s">
        <v>125</v>
      </c>
      <c r="B111" s="161"/>
      <c r="C111" s="156"/>
      <c r="D111" s="159"/>
      <c r="E111" s="156"/>
      <c r="F111" s="162"/>
      <c r="G111" s="158">
        <f>'1.Indicative Costs'!$J$233</f>
        <v>1683000</v>
      </c>
      <c r="H111" s="160"/>
      <c r="I111" s="660"/>
      <c r="J111" s="34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</row>
    <row r="112" spans="1:60" ht="15" customHeight="1">
      <c r="A112" s="374" t="s">
        <v>95</v>
      </c>
      <c r="B112" s="335">
        <f aca="true" t="shared" si="7" ref="B112:G112">SUM(B101:B111)</f>
        <v>0</v>
      </c>
      <c r="C112" s="335">
        <f t="shared" si="7"/>
        <v>0</v>
      </c>
      <c r="D112" s="335">
        <f t="shared" si="7"/>
        <v>0</v>
      </c>
      <c r="E112" s="335">
        <f t="shared" si="7"/>
        <v>0</v>
      </c>
      <c r="F112" s="335">
        <f t="shared" si="7"/>
        <v>0</v>
      </c>
      <c r="G112" s="335">
        <f t="shared" si="7"/>
        <v>21813000</v>
      </c>
      <c r="H112" s="312">
        <f>SUM(B112:G112)</f>
        <v>21813000</v>
      </c>
      <c r="I112" s="646"/>
      <c r="J112" s="34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</row>
    <row r="113" spans="1:60" ht="15" customHeight="1" thickBot="1">
      <c r="A113" s="375" t="s">
        <v>152</v>
      </c>
      <c r="B113" s="336">
        <f aca="true" t="shared" si="8" ref="B113:G113">B112</f>
        <v>0</v>
      </c>
      <c r="C113" s="336">
        <f t="shared" si="8"/>
        <v>0</v>
      </c>
      <c r="D113" s="336">
        <f t="shared" si="8"/>
        <v>0</v>
      </c>
      <c r="E113" s="336">
        <f t="shared" si="8"/>
        <v>0</v>
      </c>
      <c r="F113" s="336">
        <f t="shared" si="8"/>
        <v>0</v>
      </c>
      <c r="G113" s="336">
        <f t="shared" si="8"/>
        <v>21813000</v>
      </c>
      <c r="H113" s="314">
        <f>SUM(B113:G113)</f>
        <v>21813000</v>
      </c>
      <c r="I113" s="780"/>
      <c r="J113" s="34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2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</row>
    <row r="114" spans="1:60" ht="15" customHeight="1" thickBot="1">
      <c r="A114" s="776"/>
      <c r="B114" s="53"/>
      <c r="C114" s="53"/>
      <c r="D114" s="53"/>
      <c r="E114" s="53"/>
      <c r="F114" s="53"/>
      <c r="G114" s="53"/>
      <c r="H114" s="53"/>
      <c r="I114" s="779"/>
      <c r="J114" s="34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2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</row>
    <row r="115" spans="1:60" ht="15" customHeight="1" thickBot="1">
      <c r="A115" s="373" t="s">
        <v>353</v>
      </c>
      <c r="B115" s="777"/>
      <c r="C115" s="777"/>
      <c r="D115" s="777"/>
      <c r="E115" s="777"/>
      <c r="F115" s="777"/>
      <c r="G115" s="777"/>
      <c r="H115" s="777"/>
      <c r="I115" s="778"/>
      <c r="J115" s="34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2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</row>
    <row r="116" spans="1:60" ht="15" customHeight="1" thickBot="1">
      <c r="A116" s="387" t="s">
        <v>354</v>
      </c>
      <c r="B116" s="758">
        <v>0</v>
      </c>
      <c r="C116" s="781">
        <v>15900000</v>
      </c>
      <c r="D116" s="758">
        <v>0</v>
      </c>
      <c r="E116" s="758">
        <v>0</v>
      </c>
      <c r="F116" s="758">
        <v>0</v>
      </c>
      <c r="G116" s="758">
        <v>0</v>
      </c>
      <c r="H116" s="781">
        <v>15900000</v>
      </c>
      <c r="I116" s="782" t="s">
        <v>360</v>
      </c>
      <c r="J116" s="34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</row>
    <row r="117" spans="1:60" ht="15" customHeight="1" thickBot="1">
      <c r="A117" s="776"/>
      <c r="B117" s="53"/>
      <c r="C117" s="53"/>
      <c r="D117" s="53"/>
      <c r="E117" s="53"/>
      <c r="F117" s="53"/>
      <c r="G117" s="53"/>
      <c r="H117" s="53"/>
      <c r="I117" s="783"/>
      <c r="J117" s="34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2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</row>
    <row r="118" spans="1:60" ht="15" customHeight="1">
      <c r="A118" s="374" t="s">
        <v>127</v>
      </c>
      <c r="B118" s="356">
        <f aca="true" t="shared" si="9" ref="B118:H118">B112+B97+B73+B45+B28</f>
        <v>136627200</v>
      </c>
      <c r="C118" s="356">
        <f t="shared" si="9"/>
        <v>61080800</v>
      </c>
      <c r="D118" s="356">
        <f t="shared" si="9"/>
        <v>0</v>
      </c>
      <c r="E118" s="356">
        <f t="shared" si="9"/>
        <v>66132000</v>
      </c>
      <c r="F118" s="356">
        <f t="shared" si="9"/>
        <v>57992000</v>
      </c>
      <c r="G118" s="356">
        <f t="shared" si="9"/>
        <v>21813000</v>
      </c>
      <c r="H118" s="356">
        <f t="shared" si="9"/>
        <v>343645000</v>
      </c>
      <c r="I118" s="784"/>
      <c r="J118" s="34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2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</row>
    <row r="119" spans="1:60" s="15" customFormat="1" ht="15" customHeight="1" thickBot="1">
      <c r="A119" s="376" t="s">
        <v>245</v>
      </c>
      <c r="B119" s="372">
        <f aca="true" t="shared" si="10" ref="B119:G119">B113+B98+B74+B46+B29</f>
        <v>122437200</v>
      </c>
      <c r="C119" s="372">
        <f>C113+C98+C74+C46+C29-C116</f>
        <v>45180800</v>
      </c>
      <c r="D119" s="372">
        <f t="shared" si="10"/>
        <v>0</v>
      </c>
      <c r="E119" s="372">
        <f t="shared" si="10"/>
        <v>66132000</v>
      </c>
      <c r="F119" s="372">
        <f t="shared" si="10"/>
        <v>57992000</v>
      </c>
      <c r="G119" s="372">
        <f t="shared" si="10"/>
        <v>21813000</v>
      </c>
      <c r="H119" s="372">
        <f>SUM(B119:G119)</f>
        <v>313555000</v>
      </c>
      <c r="I119" s="785"/>
      <c r="J119" s="34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2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</row>
    <row r="120" spans="23:60" ht="15" customHeight="1"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</row>
    <row r="121" ht="15" customHeight="1"/>
    <row r="122" ht="12" customHeight="1"/>
    <row r="123" ht="16.5" customHeight="1"/>
    <row r="124" ht="12" customHeight="1">
      <c r="A124"/>
    </row>
    <row r="125" ht="12.75" customHeight="1">
      <c r="A125"/>
    </row>
    <row r="126" ht="15" customHeight="1">
      <c r="A126"/>
    </row>
    <row r="127" spans="1:9" s="15" customFormat="1" ht="15.75">
      <c r="A127"/>
      <c r="I127" s="650"/>
    </row>
    <row r="128" spans="1:9" s="15" customFormat="1" ht="15.75">
      <c r="A128"/>
      <c r="I128" s="650"/>
    </row>
    <row r="129" spans="1:9" s="15" customFormat="1" ht="15.75">
      <c r="A129"/>
      <c r="I129" s="650"/>
    </row>
    <row r="130" spans="1:9" s="15" customFormat="1" ht="15.75">
      <c r="A130"/>
      <c r="I130" s="650"/>
    </row>
    <row r="131" spans="1:9" s="15" customFormat="1" ht="15.75">
      <c r="A131"/>
      <c r="I131" s="650"/>
    </row>
    <row r="132" spans="1:9" s="15" customFormat="1" ht="15.75">
      <c r="A132"/>
      <c r="I132" s="650"/>
    </row>
    <row r="133" spans="1:9" s="15" customFormat="1" ht="15.75">
      <c r="A133"/>
      <c r="I133" s="650"/>
    </row>
    <row r="134" spans="1:9" s="15" customFormat="1" ht="15.75">
      <c r="A134"/>
      <c r="I134" s="650"/>
    </row>
    <row r="135" spans="1:9" s="15" customFormat="1" ht="15.75">
      <c r="A135"/>
      <c r="I135" s="650"/>
    </row>
    <row r="136" spans="1:9" s="15" customFormat="1" ht="15.75">
      <c r="A136"/>
      <c r="I136" s="650"/>
    </row>
    <row r="137" spans="1:9" s="15" customFormat="1" ht="15.75">
      <c r="A137"/>
      <c r="I137" s="650"/>
    </row>
    <row r="138" spans="1:9" s="15" customFormat="1" ht="15.75">
      <c r="A138"/>
      <c r="I138" s="650"/>
    </row>
    <row r="139" spans="1:9" s="15" customFormat="1" ht="15.75">
      <c r="A139"/>
      <c r="I139" s="650"/>
    </row>
    <row r="140" spans="1:9" s="15" customFormat="1" ht="15.75">
      <c r="A140"/>
      <c r="I140" s="650"/>
    </row>
    <row r="141" spans="1:9" s="15" customFormat="1" ht="57.75" customHeight="1">
      <c r="A141"/>
      <c r="I141" s="650"/>
    </row>
    <row r="142" spans="1:9" s="15" customFormat="1" ht="15.75">
      <c r="A142"/>
      <c r="I142" s="650"/>
    </row>
    <row r="143" spans="1:9" s="15" customFormat="1" ht="15.75">
      <c r="A143"/>
      <c r="I143" s="650"/>
    </row>
    <row r="144" spans="1:9" s="15" customFormat="1" ht="15.75">
      <c r="A144"/>
      <c r="I144" s="650"/>
    </row>
    <row r="145" spans="1:9" s="15" customFormat="1" ht="15.75">
      <c r="A145"/>
      <c r="I145" s="650"/>
    </row>
    <row r="146" spans="1:9" s="15" customFormat="1" ht="15.75">
      <c r="A146"/>
      <c r="I146" s="650"/>
    </row>
    <row r="147" spans="1:9" s="15" customFormat="1" ht="15.75">
      <c r="A147"/>
      <c r="I147" s="650"/>
    </row>
    <row r="148" spans="1:9" s="15" customFormat="1" ht="15.75">
      <c r="A148"/>
      <c r="I148" s="650"/>
    </row>
    <row r="149" spans="1:9" s="15" customFormat="1" ht="15.75">
      <c r="A149"/>
      <c r="I149" s="650"/>
    </row>
    <row r="150" spans="1:9" s="15" customFormat="1" ht="15.75">
      <c r="A150"/>
      <c r="I150" s="650"/>
    </row>
    <row r="151" spans="1:9" s="15" customFormat="1" ht="15.75">
      <c r="A151"/>
      <c r="I151" s="650"/>
    </row>
    <row r="152" spans="1:9" s="15" customFormat="1" ht="15.75">
      <c r="A152"/>
      <c r="I152" s="650"/>
    </row>
    <row r="153" spans="1:9" s="15" customFormat="1" ht="15.75">
      <c r="A153"/>
      <c r="I153" s="650"/>
    </row>
    <row r="154" spans="1:9" s="15" customFormat="1" ht="15.75">
      <c r="A154"/>
      <c r="I154" s="650"/>
    </row>
    <row r="155" spans="1:9" s="15" customFormat="1" ht="15.75">
      <c r="A155"/>
      <c r="I155" s="650"/>
    </row>
    <row r="156" spans="1:9" s="15" customFormat="1" ht="15.75">
      <c r="A156"/>
      <c r="I156" s="650"/>
    </row>
    <row r="157" spans="1:9" s="15" customFormat="1" ht="15.75">
      <c r="A157"/>
      <c r="I157" s="650"/>
    </row>
    <row r="158" spans="1:9" s="15" customFormat="1" ht="15.75">
      <c r="A158"/>
      <c r="I158" s="650"/>
    </row>
    <row r="159" spans="1:9" s="15" customFormat="1" ht="15.75">
      <c r="A159"/>
      <c r="I159" s="650"/>
    </row>
    <row r="160" spans="1:9" s="15" customFormat="1" ht="15.75">
      <c r="A160"/>
      <c r="I160" s="650"/>
    </row>
    <row r="161" spans="1:9" s="16" customFormat="1" ht="15.75">
      <c r="A161"/>
      <c r="I161" s="651"/>
    </row>
    <row r="162" spans="1:9" s="15" customFormat="1" ht="15.75">
      <c r="A162"/>
      <c r="I162" s="650"/>
    </row>
    <row r="163" spans="1:9" s="15" customFormat="1" ht="15.75">
      <c r="A163"/>
      <c r="I163" s="650"/>
    </row>
    <row r="164" spans="1:9" s="15" customFormat="1" ht="15.75">
      <c r="A164"/>
      <c r="I164" s="650"/>
    </row>
    <row r="165" spans="1:9" s="15" customFormat="1" ht="15.75">
      <c r="A165"/>
      <c r="I165" s="650"/>
    </row>
    <row r="166" spans="1:9" s="15" customFormat="1" ht="15.75">
      <c r="A166"/>
      <c r="I166" s="650"/>
    </row>
    <row r="167" spans="1:9" s="15" customFormat="1" ht="15.75">
      <c r="A167"/>
      <c r="I167" s="650"/>
    </row>
    <row r="168" spans="1:9" s="15" customFormat="1" ht="15.75">
      <c r="A168"/>
      <c r="I168" s="650"/>
    </row>
    <row r="169" spans="1:9" s="15" customFormat="1" ht="15.75">
      <c r="A169"/>
      <c r="I169" s="650"/>
    </row>
    <row r="170" spans="1:9" s="15" customFormat="1" ht="15.75">
      <c r="A170"/>
      <c r="I170" s="650"/>
    </row>
    <row r="171" spans="1:9" s="15" customFormat="1" ht="15.75">
      <c r="A171"/>
      <c r="I171" s="650"/>
    </row>
    <row r="172" spans="1:9" s="15" customFormat="1" ht="15.75">
      <c r="A172"/>
      <c r="I172" s="650"/>
    </row>
    <row r="173" spans="1:9" s="15" customFormat="1" ht="15.75">
      <c r="A173"/>
      <c r="I173" s="650"/>
    </row>
    <row r="174" spans="1:9" s="15" customFormat="1" ht="15.75">
      <c r="A174"/>
      <c r="I174" s="650"/>
    </row>
    <row r="175" spans="1:9" s="15" customFormat="1" ht="15.75">
      <c r="A175"/>
      <c r="I175" s="650"/>
    </row>
    <row r="176" spans="1:9" s="15" customFormat="1" ht="15.75">
      <c r="A176"/>
      <c r="I176" s="650"/>
    </row>
    <row r="177" spans="1:9" s="15" customFormat="1" ht="15.75">
      <c r="A177"/>
      <c r="I177" s="650"/>
    </row>
    <row r="178" spans="1:9" s="15" customFormat="1" ht="15.75">
      <c r="A178"/>
      <c r="I178" s="650"/>
    </row>
    <row r="179" spans="1:9" s="15" customFormat="1" ht="15.75">
      <c r="A179"/>
      <c r="I179" s="650"/>
    </row>
    <row r="180" spans="1:9" s="15" customFormat="1" ht="15.75">
      <c r="A180"/>
      <c r="I180" s="650"/>
    </row>
    <row r="181" spans="1:9" s="15" customFormat="1" ht="15.75">
      <c r="A181"/>
      <c r="I181" s="650"/>
    </row>
    <row r="182" spans="1:9" s="15" customFormat="1" ht="15.75">
      <c r="A182"/>
      <c r="I182" s="650"/>
    </row>
    <row r="183" spans="1:9" s="15" customFormat="1" ht="15.75">
      <c r="A183"/>
      <c r="I183" s="650"/>
    </row>
    <row r="184" spans="1:9" s="15" customFormat="1" ht="15.75">
      <c r="A184"/>
      <c r="I184" s="650"/>
    </row>
    <row r="185" spans="1:9" s="15" customFormat="1" ht="15.75">
      <c r="A185"/>
      <c r="I185" s="650"/>
    </row>
    <row r="186" spans="1:9" s="15" customFormat="1" ht="15.75">
      <c r="A186"/>
      <c r="I186" s="650"/>
    </row>
    <row r="187" spans="1:9" s="15" customFormat="1" ht="15.75">
      <c r="A187"/>
      <c r="I187" s="650"/>
    </row>
    <row r="188" spans="1:9" s="15" customFormat="1" ht="15.75">
      <c r="A188"/>
      <c r="I188" s="650"/>
    </row>
    <row r="189" spans="1:9" s="15" customFormat="1" ht="15.75">
      <c r="A189"/>
      <c r="I189" s="650"/>
    </row>
    <row r="190" spans="1:9" s="15" customFormat="1" ht="15.75">
      <c r="A190"/>
      <c r="I190" s="650"/>
    </row>
    <row r="191" spans="1:9" s="15" customFormat="1" ht="15.75">
      <c r="A191"/>
      <c r="I191" s="650"/>
    </row>
    <row r="192" spans="1:9" s="15" customFormat="1" ht="15.75">
      <c r="A192"/>
      <c r="I192" s="650"/>
    </row>
    <row r="193" spans="1:9" s="15" customFormat="1" ht="15.75">
      <c r="A193"/>
      <c r="I193" s="650"/>
    </row>
    <row r="194" spans="1:9" s="15" customFormat="1" ht="15.75">
      <c r="A194"/>
      <c r="I194" s="650"/>
    </row>
    <row r="195" spans="1:9" s="15" customFormat="1" ht="15.75">
      <c r="A195"/>
      <c r="I195" s="650"/>
    </row>
    <row r="196" spans="1:9" s="15" customFormat="1" ht="15.75">
      <c r="A196"/>
      <c r="I196" s="650"/>
    </row>
    <row r="197" spans="1:9" s="15" customFormat="1" ht="15.75">
      <c r="A197"/>
      <c r="I197" s="650"/>
    </row>
    <row r="198" spans="1:9" s="15" customFormat="1" ht="15.75">
      <c r="A198"/>
      <c r="I198" s="650"/>
    </row>
    <row r="199" spans="1:9" s="15" customFormat="1" ht="15.75">
      <c r="A199"/>
      <c r="I199" s="650"/>
    </row>
    <row r="200" spans="1:9" s="15" customFormat="1" ht="15.75">
      <c r="A200"/>
      <c r="I200" s="650"/>
    </row>
    <row r="201" spans="1:9" s="15" customFormat="1" ht="5.25" customHeight="1">
      <c r="A201"/>
      <c r="I201" s="650"/>
    </row>
    <row r="202" spans="1:9" s="17" customFormat="1" ht="14.25" customHeight="1">
      <c r="A202"/>
      <c r="I202" s="652"/>
    </row>
    <row r="203" spans="1:9" s="17" customFormat="1" ht="14.25" customHeight="1">
      <c r="A203"/>
      <c r="I203" s="652"/>
    </row>
    <row r="204" ht="12" customHeight="1">
      <c r="A204"/>
    </row>
    <row r="205" spans="1:9" s="15" customFormat="1" ht="15.75">
      <c r="A205"/>
      <c r="I205" s="650"/>
    </row>
    <row r="206" spans="1:9" s="15" customFormat="1" ht="15.75">
      <c r="A206"/>
      <c r="I206" s="650"/>
    </row>
    <row r="207" spans="1:9" s="15" customFormat="1" ht="15.75">
      <c r="A207"/>
      <c r="I207" s="650"/>
    </row>
    <row r="208" spans="1:9" s="15" customFormat="1" ht="15.75">
      <c r="A208"/>
      <c r="I208" s="650"/>
    </row>
    <row r="209" spans="1:9" s="15" customFormat="1" ht="15.75">
      <c r="A209"/>
      <c r="I209" s="650"/>
    </row>
    <row r="210" spans="1:9" s="15" customFormat="1" ht="15.75">
      <c r="A210"/>
      <c r="I210" s="650"/>
    </row>
    <row r="211" spans="1:9" s="15" customFormat="1" ht="15.75">
      <c r="A211"/>
      <c r="I211" s="650"/>
    </row>
    <row r="212" spans="1:9" s="15" customFormat="1" ht="15.75">
      <c r="A212"/>
      <c r="I212" s="650"/>
    </row>
    <row r="213" spans="1:9" s="15" customFormat="1" ht="15.75">
      <c r="A213"/>
      <c r="I213" s="650"/>
    </row>
    <row r="214" spans="1:9" s="15" customFormat="1" ht="15.75">
      <c r="A214"/>
      <c r="I214" s="650"/>
    </row>
    <row r="215" spans="1:9" s="15" customFormat="1" ht="15.75">
      <c r="A215"/>
      <c r="I215" s="650"/>
    </row>
    <row r="216" spans="1:9" s="15" customFormat="1" ht="15.75">
      <c r="A216"/>
      <c r="I216" s="650"/>
    </row>
    <row r="217" spans="1:9" s="15" customFormat="1" ht="15.75">
      <c r="A217"/>
      <c r="I217" s="650"/>
    </row>
    <row r="218" spans="1:9" s="15" customFormat="1" ht="15.75">
      <c r="A218"/>
      <c r="I218" s="650"/>
    </row>
    <row r="219" spans="1:9" s="15" customFormat="1" ht="15.75">
      <c r="A219"/>
      <c r="I219" s="650"/>
    </row>
    <row r="220" spans="1:9" s="15" customFormat="1" ht="15.75">
      <c r="A220"/>
      <c r="I220" s="650"/>
    </row>
    <row r="221" spans="1:9" s="17" customFormat="1" ht="14.25" customHeight="1">
      <c r="A221"/>
      <c r="I221" s="652"/>
    </row>
    <row r="222" ht="12" customHeight="1">
      <c r="A222"/>
    </row>
    <row r="223" spans="1:9" s="15" customFormat="1" ht="21" customHeight="1">
      <c r="A223"/>
      <c r="I223" s="650"/>
    </row>
    <row r="224" spans="1:9" s="15" customFormat="1" ht="15.75">
      <c r="A224"/>
      <c r="I224" s="650"/>
    </row>
    <row r="225" spans="1:9" s="15" customFormat="1" ht="15.75">
      <c r="A225"/>
      <c r="I225" s="650"/>
    </row>
    <row r="226" spans="1:9" s="15" customFormat="1" ht="15.75">
      <c r="A226"/>
      <c r="I226" s="650"/>
    </row>
    <row r="227" spans="1:9" s="15" customFormat="1" ht="15.75">
      <c r="A227"/>
      <c r="I227" s="650"/>
    </row>
    <row r="228" spans="1:9" s="15" customFormat="1" ht="15.75">
      <c r="A228"/>
      <c r="I228" s="650"/>
    </row>
    <row r="229" spans="1:9" s="15" customFormat="1" ht="15.75">
      <c r="A229"/>
      <c r="I229" s="650"/>
    </row>
    <row r="230" spans="1:9" s="15" customFormat="1" ht="15.75">
      <c r="A230"/>
      <c r="I230" s="650"/>
    </row>
    <row r="231" spans="1:9" s="15" customFormat="1" ht="15.75">
      <c r="A231"/>
      <c r="I231" s="650"/>
    </row>
    <row r="232" spans="1:9" s="15" customFormat="1" ht="15.75">
      <c r="A232"/>
      <c r="I232" s="650"/>
    </row>
    <row r="233" spans="1:9" s="15" customFormat="1" ht="15.75">
      <c r="A233"/>
      <c r="I233" s="650"/>
    </row>
    <row r="234" spans="1:9" s="15" customFormat="1" ht="15.75">
      <c r="A234"/>
      <c r="I234" s="650"/>
    </row>
    <row r="235" spans="1:9" s="15" customFormat="1" ht="15.75">
      <c r="A235"/>
      <c r="I235" s="650"/>
    </row>
    <row r="236" spans="1:9" s="15" customFormat="1" ht="15.75">
      <c r="A236"/>
      <c r="I236" s="650"/>
    </row>
    <row r="237" spans="1:9" s="15" customFormat="1" ht="15.75">
      <c r="A237"/>
      <c r="I237" s="650"/>
    </row>
    <row r="238" spans="1:9" s="15" customFormat="1" ht="15.75">
      <c r="A238"/>
      <c r="I238" s="650"/>
    </row>
    <row r="239" spans="1:9" s="15" customFormat="1" ht="15.75">
      <c r="A239"/>
      <c r="I239" s="650"/>
    </row>
    <row r="240" spans="1:9" s="15" customFormat="1" ht="15.75">
      <c r="A240"/>
      <c r="I240" s="650"/>
    </row>
    <row r="241" spans="1:9" s="15" customFormat="1" ht="15.75">
      <c r="A241"/>
      <c r="I241" s="650"/>
    </row>
    <row r="242" spans="1:9" s="15" customFormat="1" ht="15.75">
      <c r="A242"/>
      <c r="I242" s="650"/>
    </row>
    <row r="243" spans="1:9" s="15" customFormat="1" ht="15.75">
      <c r="A243"/>
      <c r="I243" s="650"/>
    </row>
    <row r="244" ht="15.75">
      <c r="A244"/>
    </row>
    <row r="245" ht="15.75">
      <c r="A245"/>
    </row>
    <row r="246" spans="1:9" s="17" customFormat="1" ht="14.25" customHeight="1">
      <c r="A246"/>
      <c r="I246" s="652"/>
    </row>
    <row r="247" spans="1:9" s="17" customFormat="1" ht="14.25" customHeight="1">
      <c r="A247"/>
      <c r="I247" s="652"/>
    </row>
    <row r="248" spans="1:9" s="15" customFormat="1" ht="15.75">
      <c r="A248"/>
      <c r="I248" s="650"/>
    </row>
    <row r="249" spans="1:9" s="15" customFormat="1" ht="21" customHeight="1">
      <c r="A249"/>
      <c r="I249" s="650"/>
    </row>
    <row r="250" spans="1:9" s="15" customFormat="1" ht="15.75">
      <c r="A250"/>
      <c r="I250" s="650"/>
    </row>
    <row r="251" spans="1:9" s="15" customFormat="1" ht="15.75">
      <c r="A251"/>
      <c r="I251" s="650"/>
    </row>
    <row r="252" spans="1:9" s="15" customFormat="1" ht="15.75">
      <c r="A252"/>
      <c r="I252" s="650"/>
    </row>
    <row r="253" spans="1:9" s="15" customFormat="1" ht="15.75">
      <c r="A253"/>
      <c r="I253" s="650"/>
    </row>
    <row r="254" spans="1:9" s="15" customFormat="1" ht="15.75">
      <c r="A254"/>
      <c r="I254" s="650"/>
    </row>
    <row r="255" spans="1:9" s="15" customFormat="1" ht="15.75">
      <c r="A255"/>
      <c r="I255" s="650"/>
    </row>
    <row r="256" spans="1:9" s="15" customFormat="1" ht="15.75">
      <c r="A256"/>
      <c r="I256" s="650"/>
    </row>
    <row r="257" spans="1:9" s="15" customFormat="1" ht="15.75">
      <c r="A257"/>
      <c r="I257" s="650"/>
    </row>
    <row r="258" spans="1:9" s="15" customFormat="1" ht="15.75">
      <c r="A258"/>
      <c r="I258" s="650"/>
    </row>
    <row r="259" spans="1:9" s="17" customFormat="1" ht="14.25" customHeight="1">
      <c r="A259"/>
      <c r="I259" s="652"/>
    </row>
    <row r="260" spans="1:9" s="17" customFormat="1" ht="14.25" customHeight="1">
      <c r="A260"/>
      <c r="I260" s="652"/>
    </row>
    <row r="261" ht="4.5" customHeight="1">
      <c r="A261"/>
    </row>
    <row r="262" spans="1:9" s="37" customFormat="1" ht="18.75" customHeight="1">
      <c r="A262"/>
      <c r="I262" s="653"/>
    </row>
    <row r="263" spans="1:22" s="18" customFormat="1" ht="12.75">
      <c r="A263"/>
      <c r="C263" s="19"/>
      <c r="D263" s="19"/>
      <c r="E263" s="19"/>
      <c r="F263" s="19"/>
      <c r="G263" s="20"/>
      <c r="H263" s="20"/>
      <c r="I263" s="654"/>
      <c r="J263" s="21"/>
      <c r="V263" s="4"/>
    </row>
    <row r="264" spans="1:22" s="18" customFormat="1" ht="12.75">
      <c r="A264"/>
      <c r="C264" s="19"/>
      <c r="D264" s="19"/>
      <c r="E264" s="19"/>
      <c r="F264" s="19"/>
      <c r="G264" s="20"/>
      <c r="H264" s="20"/>
      <c r="I264" s="654"/>
      <c r="J264" s="21"/>
      <c r="T264" s="18" t="s">
        <v>21</v>
      </c>
      <c r="U264" s="38">
        <f>'4.Contributions'!T125-H118</f>
        <v>-117855700</v>
      </c>
      <c r="V264" s="4"/>
    </row>
    <row r="265" spans="1:22" s="18" customFormat="1" ht="12.75">
      <c r="A265"/>
      <c r="C265" s="19"/>
      <c r="D265" s="19"/>
      <c r="E265" s="19"/>
      <c r="F265" s="19"/>
      <c r="I265" s="655" t="s">
        <v>21</v>
      </c>
      <c r="J265" s="22">
        <f>'4.Contributions'!H121+'4.Contributions'!H110+'4.Contributions'!H87+'4.Contributions'!H25+'4.Contributions'!H50</f>
        <v>60167300</v>
      </c>
      <c r="V265" s="4"/>
    </row>
    <row r="266" spans="1:22" s="18" customFormat="1" ht="12.75">
      <c r="A266"/>
      <c r="C266" s="19"/>
      <c r="D266" s="19"/>
      <c r="E266" s="19"/>
      <c r="F266" s="19"/>
      <c r="I266" s="654"/>
      <c r="J266" s="21"/>
      <c r="V266" s="4"/>
    </row>
    <row r="267" spans="1:22" s="18" customFormat="1" ht="12.75">
      <c r="A267"/>
      <c r="C267" s="19"/>
      <c r="D267" s="19"/>
      <c r="E267" s="19"/>
      <c r="F267" s="19"/>
      <c r="I267" s="654"/>
      <c r="J267" s="21"/>
      <c r="V267" s="4"/>
    </row>
    <row r="268" spans="1:22" s="18" customFormat="1" ht="12.75">
      <c r="A268"/>
      <c r="C268" s="19"/>
      <c r="D268" s="19"/>
      <c r="E268" s="19"/>
      <c r="F268" s="19"/>
      <c r="I268" s="654"/>
      <c r="J268" s="21"/>
      <c r="V268" s="4"/>
    </row>
    <row r="269" spans="1:22" s="18" customFormat="1" ht="12.75">
      <c r="A269"/>
      <c r="C269" s="19"/>
      <c r="D269" s="19"/>
      <c r="E269" s="19"/>
      <c r="F269" s="19"/>
      <c r="I269" s="654"/>
      <c r="J269" s="21"/>
      <c r="V269" s="4"/>
    </row>
    <row r="270" spans="1:22" s="18" customFormat="1" ht="12.75">
      <c r="A270"/>
      <c r="C270" s="19"/>
      <c r="D270" s="19"/>
      <c r="E270" s="19"/>
      <c r="F270" s="19"/>
      <c r="I270" s="654"/>
      <c r="J270" s="21"/>
      <c r="T270" s="38">
        <f>'4.Contributions'!T125-H119</f>
        <v>-87765700</v>
      </c>
      <c r="V270" s="4"/>
    </row>
    <row r="271" spans="1:22" s="18" customFormat="1" ht="12.75">
      <c r="A271"/>
      <c r="C271" s="19"/>
      <c r="D271" s="19"/>
      <c r="E271" s="19"/>
      <c r="F271" s="19"/>
      <c r="I271" s="654"/>
      <c r="J271" s="21"/>
      <c r="V271" s="4"/>
    </row>
    <row r="272" spans="1:22" s="18" customFormat="1" ht="12.75">
      <c r="A272"/>
      <c r="C272" s="19"/>
      <c r="D272" s="19"/>
      <c r="E272" s="19"/>
      <c r="F272" s="19"/>
      <c r="I272" s="654"/>
      <c r="J272" s="21"/>
      <c r="V272" s="4"/>
    </row>
    <row r="273" spans="1:22" s="18" customFormat="1" ht="12.75">
      <c r="A273"/>
      <c r="C273" s="19"/>
      <c r="D273" s="19"/>
      <c r="E273" s="19"/>
      <c r="F273" s="19"/>
      <c r="I273" s="654"/>
      <c r="J273" s="21"/>
      <c r="V273" s="4"/>
    </row>
    <row r="274" spans="1:22" s="18" customFormat="1" ht="12.75">
      <c r="A274"/>
      <c r="C274" s="19"/>
      <c r="D274" s="19"/>
      <c r="E274" s="19"/>
      <c r="F274" s="23"/>
      <c r="I274" s="654"/>
      <c r="J274" s="21"/>
      <c r="V274" s="4"/>
    </row>
    <row r="275" spans="1:22" s="18" customFormat="1" ht="12.75">
      <c r="A275"/>
      <c r="C275" s="19"/>
      <c r="D275" s="19"/>
      <c r="E275" s="19"/>
      <c r="F275" s="23"/>
      <c r="I275" s="654"/>
      <c r="J275" s="21"/>
      <c r="V275" s="4"/>
    </row>
    <row r="276" spans="1:22" s="18" customFormat="1" ht="12.75">
      <c r="A276"/>
      <c r="C276" s="19"/>
      <c r="D276" s="19"/>
      <c r="E276" s="19"/>
      <c r="F276" s="23"/>
      <c r="I276" s="654"/>
      <c r="J276" s="21"/>
      <c r="V276" s="4"/>
    </row>
    <row r="277" spans="1:22" s="18" customFormat="1" ht="12.75">
      <c r="A277"/>
      <c r="C277" s="19"/>
      <c r="D277" s="19"/>
      <c r="E277" s="19"/>
      <c r="F277" s="19"/>
      <c r="I277" s="654"/>
      <c r="J277" s="21"/>
      <c r="V277" s="4"/>
    </row>
    <row r="278" spans="1:22" s="18" customFormat="1" ht="12.75">
      <c r="A278"/>
      <c r="C278" s="19"/>
      <c r="D278" s="19"/>
      <c r="E278" s="19"/>
      <c r="F278" s="19"/>
      <c r="I278" s="654"/>
      <c r="J278" s="21"/>
      <c r="V278" s="4"/>
    </row>
    <row r="279" spans="1:22" s="18" customFormat="1" ht="12.75">
      <c r="A279"/>
      <c r="C279" s="19"/>
      <c r="D279" s="19"/>
      <c r="E279" s="19"/>
      <c r="F279" s="19"/>
      <c r="I279" s="654"/>
      <c r="J279" s="21"/>
      <c r="V279" s="4"/>
    </row>
    <row r="280" spans="1:22" s="18" customFormat="1" ht="12.75">
      <c r="A280"/>
      <c r="C280" s="19"/>
      <c r="D280" s="19"/>
      <c r="E280" s="19"/>
      <c r="F280" s="19"/>
      <c r="I280" s="654"/>
      <c r="J280" s="21"/>
      <c r="V280" s="4"/>
    </row>
    <row r="281" spans="1:22" s="18" customFormat="1" ht="12.75">
      <c r="A281"/>
      <c r="C281" s="19"/>
      <c r="D281" s="19"/>
      <c r="E281" s="19"/>
      <c r="F281" s="19"/>
      <c r="I281" s="654"/>
      <c r="J281" s="21"/>
      <c r="V281" s="4"/>
    </row>
    <row r="282" spans="1:22" s="18" customFormat="1" ht="12.75">
      <c r="A282"/>
      <c r="C282" s="19"/>
      <c r="D282" s="19"/>
      <c r="E282" s="19"/>
      <c r="F282" s="19"/>
      <c r="I282" s="654"/>
      <c r="J282" s="21"/>
      <c r="V282" s="4"/>
    </row>
    <row r="283" spans="1:22" s="18" customFormat="1" ht="12.75">
      <c r="A283"/>
      <c r="C283" s="19"/>
      <c r="D283" s="19"/>
      <c r="E283" s="19"/>
      <c r="F283" s="19"/>
      <c r="I283" s="654"/>
      <c r="J283" s="21"/>
      <c r="V283" s="4"/>
    </row>
    <row r="284" spans="1:22" s="18" customFormat="1" ht="12.75">
      <c r="A284"/>
      <c r="C284" s="19"/>
      <c r="D284" s="19"/>
      <c r="E284" s="19"/>
      <c r="F284" s="19"/>
      <c r="I284" s="654"/>
      <c r="J284" s="21"/>
      <c r="V284" s="4"/>
    </row>
    <row r="285" spans="1:22" s="18" customFormat="1" ht="12.75">
      <c r="A285"/>
      <c r="C285" s="19"/>
      <c r="D285" s="19"/>
      <c r="E285" s="19"/>
      <c r="F285" s="19"/>
      <c r="I285" s="654"/>
      <c r="J285" s="21"/>
      <c r="V285" s="4"/>
    </row>
    <row r="286" spans="1:22" s="18" customFormat="1" ht="12.75">
      <c r="A286"/>
      <c r="C286" s="19"/>
      <c r="D286" s="19"/>
      <c r="E286" s="19"/>
      <c r="F286" s="19"/>
      <c r="I286" s="654"/>
      <c r="J286" s="21"/>
      <c r="V286" s="4"/>
    </row>
    <row r="287" spans="1:22" s="18" customFormat="1" ht="12.75">
      <c r="A287"/>
      <c r="C287" s="19"/>
      <c r="D287" s="19"/>
      <c r="E287" s="19"/>
      <c r="F287" s="19"/>
      <c r="I287" s="654"/>
      <c r="J287" s="21"/>
      <c r="V287" s="4"/>
    </row>
    <row r="288" spans="1:22" s="18" customFormat="1" ht="12.75">
      <c r="A288"/>
      <c r="C288" s="19"/>
      <c r="D288" s="19"/>
      <c r="E288" s="19"/>
      <c r="F288" s="19"/>
      <c r="I288" s="654"/>
      <c r="J288" s="21"/>
      <c r="V288" s="4"/>
    </row>
    <row r="289" spans="1:22" s="18" customFormat="1" ht="12.75">
      <c r="A289"/>
      <c r="C289" s="19"/>
      <c r="D289" s="19"/>
      <c r="E289" s="19"/>
      <c r="F289" s="19"/>
      <c r="I289" s="654"/>
      <c r="J289" s="21"/>
      <c r="V289" s="4"/>
    </row>
    <row r="290" spans="1:22" s="18" customFormat="1" ht="12.75">
      <c r="A290"/>
      <c r="C290" s="19"/>
      <c r="D290" s="19"/>
      <c r="E290" s="19"/>
      <c r="F290" s="19"/>
      <c r="I290" s="654"/>
      <c r="J290" s="21"/>
      <c r="V290" s="4"/>
    </row>
    <row r="291" spans="1:22" s="18" customFormat="1" ht="12.75">
      <c r="A291"/>
      <c r="C291" s="19"/>
      <c r="D291" s="19"/>
      <c r="E291" s="19"/>
      <c r="F291" s="19"/>
      <c r="I291" s="654"/>
      <c r="J291" s="21"/>
      <c r="V291" s="4"/>
    </row>
    <row r="292" spans="1:22" s="18" customFormat="1" ht="12.75">
      <c r="A292"/>
      <c r="C292" s="19"/>
      <c r="D292" s="19"/>
      <c r="E292" s="19"/>
      <c r="F292" s="19"/>
      <c r="I292" s="654"/>
      <c r="J292" s="21"/>
      <c r="V292" s="4"/>
    </row>
    <row r="293" spans="1:22" s="18" customFormat="1" ht="12.75">
      <c r="A293"/>
      <c r="C293" s="19"/>
      <c r="D293" s="19"/>
      <c r="E293" s="19"/>
      <c r="F293" s="19"/>
      <c r="I293" s="654"/>
      <c r="J293" s="21"/>
      <c r="V293" s="4"/>
    </row>
    <row r="294" spans="3:22" s="18" customFormat="1" ht="12">
      <c r="C294" s="19"/>
      <c r="D294" s="19"/>
      <c r="E294" s="19"/>
      <c r="F294" s="19"/>
      <c r="I294" s="654"/>
      <c r="J294" s="21"/>
      <c r="V294" s="4"/>
    </row>
    <row r="295" spans="3:22" s="18" customFormat="1" ht="12">
      <c r="C295" s="19"/>
      <c r="D295" s="19"/>
      <c r="E295" s="19"/>
      <c r="F295" s="19"/>
      <c r="I295" s="654"/>
      <c r="J295" s="21"/>
      <c r="V295" s="4"/>
    </row>
    <row r="296" spans="3:22" s="18" customFormat="1" ht="12">
      <c r="C296" s="19"/>
      <c r="D296" s="19"/>
      <c r="E296" s="19"/>
      <c r="F296" s="19"/>
      <c r="I296" s="654"/>
      <c r="J296" s="21"/>
      <c r="V296" s="4"/>
    </row>
    <row r="297" spans="3:22" s="18" customFormat="1" ht="12">
      <c r="C297" s="19"/>
      <c r="D297" s="19"/>
      <c r="E297" s="19"/>
      <c r="F297" s="19"/>
      <c r="I297" s="654"/>
      <c r="J297" s="21"/>
      <c r="V297" s="4"/>
    </row>
    <row r="298" spans="3:22" s="18" customFormat="1" ht="12">
      <c r="C298" s="19"/>
      <c r="D298" s="19"/>
      <c r="E298" s="19"/>
      <c r="F298" s="19"/>
      <c r="I298" s="654"/>
      <c r="J298" s="21"/>
      <c r="V298" s="4"/>
    </row>
    <row r="299" spans="3:22" s="18" customFormat="1" ht="12">
      <c r="C299" s="19"/>
      <c r="D299" s="19"/>
      <c r="E299" s="19"/>
      <c r="F299" s="19"/>
      <c r="I299" s="654"/>
      <c r="J299" s="21"/>
      <c r="V299" s="4"/>
    </row>
    <row r="300" spans="3:22" s="18" customFormat="1" ht="12">
      <c r="C300" s="19"/>
      <c r="D300" s="19"/>
      <c r="E300" s="19"/>
      <c r="F300" s="19"/>
      <c r="I300" s="654"/>
      <c r="J300" s="21"/>
      <c r="V300" s="4"/>
    </row>
    <row r="301" spans="3:22" s="18" customFormat="1" ht="12">
      <c r="C301" s="19"/>
      <c r="D301" s="19"/>
      <c r="E301" s="19"/>
      <c r="F301" s="19"/>
      <c r="I301" s="654"/>
      <c r="J301" s="21"/>
      <c r="V301" s="4"/>
    </row>
    <row r="302" spans="3:22" s="18" customFormat="1" ht="12">
      <c r="C302" s="19"/>
      <c r="D302" s="19"/>
      <c r="E302" s="19"/>
      <c r="F302" s="19"/>
      <c r="I302" s="654"/>
      <c r="J302" s="21"/>
      <c r="V302" s="4"/>
    </row>
    <row r="303" spans="3:22" s="18" customFormat="1" ht="12">
      <c r="C303" s="19"/>
      <c r="D303" s="19"/>
      <c r="E303" s="19"/>
      <c r="F303" s="19"/>
      <c r="I303" s="654"/>
      <c r="J303" s="21"/>
      <c r="V303" s="4"/>
    </row>
    <row r="304" spans="3:22" s="18" customFormat="1" ht="12">
      <c r="C304" s="19"/>
      <c r="D304" s="19"/>
      <c r="E304" s="19"/>
      <c r="F304" s="19"/>
      <c r="I304" s="654"/>
      <c r="J304" s="21"/>
      <c r="V304" s="4"/>
    </row>
    <row r="305" spans="3:22" s="18" customFormat="1" ht="12">
      <c r="C305" s="19"/>
      <c r="D305" s="19"/>
      <c r="E305" s="19"/>
      <c r="F305" s="19"/>
      <c r="I305" s="654"/>
      <c r="J305" s="21"/>
      <c r="V305" s="4"/>
    </row>
    <row r="306" spans="3:22" s="18" customFormat="1" ht="12">
      <c r="C306" s="19"/>
      <c r="D306" s="19"/>
      <c r="E306" s="19"/>
      <c r="F306" s="19"/>
      <c r="I306" s="654"/>
      <c r="J306" s="21"/>
      <c r="V306" s="4"/>
    </row>
    <row r="307" spans="3:22" s="18" customFormat="1" ht="12">
      <c r="C307" s="19"/>
      <c r="D307" s="19"/>
      <c r="E307" s="19"/>
      <c r="F307" s="19"/>
      <c r="I307" s="654"/>
      <c r="J307" s="21"/>
      <c r="V307" s="4"/>
    </row>
    <row r="308" spans="3:22" s="18" customFormat="1" ht="12">
      <c r="C308" s="19"/>
      <c r="D308" s="19"/>
      <c r="E308" s="19"/>
      <c r="F308" s="19"/>
      <c r="I308" s="654"/>
      <c r="J308" s="21"/>
      <c r="V308" s="4"/>
    </row>
    <row r="309" spans="3:22" s="18" customFormat="1" ht="12">
      <c r="C309" s="19"/>
      <c r="D309" s="19"/>
      <c r="E309" s="19"/>
      <c r="F309" s="19"/>
      <c r="I309" s="654"/>
      <c r="J309" s="21"/>
      <c r="V309" s="4"/>
    </row>
    <row r="310" spans="3:22" s="18" customFormat="1" ht="12">
      <c r="C310" s="19"/>
      <c r="D310" s="19"/>
      <c r="E310" s="19"/>
      <c r="F310" s="19"/>
      <c r="I310" s="654"/>
      <c r="J310" s="21"/>
      <c r="V310" s="4"/>
    </row>
    <row r="311" spans="3:22" s="18" customFormat="1" ht="12">
      <c r="C311" s="19"/>
      <c r="D311" s="19"/>
      <c r="E311" s="19"/>
      <c r="F311" s="19"/>
      <c r="I311" s="654"/>
      <c r="J311" s="21"/>
      <c r="V311" s="4"/>
    </row>
    <row r="312" spans="3:22" s="18" customFormat="1" ht="12">
      <c r="C312" s="19"/>
      <c r="D312" s="19"/>
      <c r="E312" s="19"/>
      <c r="F312" s="19"/>
      <c r="I312" s="654"/>
      <c r="J312" s="21"/>
      <c r="V312" s="4"/>
    </row>
    <row r="313" spans="3:22" s="18" customFormat="1" ht="12">
      <c r="C313" s="19"/>
      <c r="D313" s="19"/>
      <c r="E313" s="19"/>
      <c r="F313" s="19"/>
      <c r="I313" s="654"/>
      <c r="J313" s="21"/>
      <c r="V313" s="4"/>
    </row>
    <row r="314" spans="3:22" s="18" customFormat="1" ht="12">
      <c r="C314" s="19"/>
      <c r="D314" s="19"/>
      <c r="E314" s="19"/>
      <c r="F314" s="19"/>
      <c r="I314" s="654"/>
      <c r="J314" s="21"/>
      <c r="V314" s="4"/>
    </row>
    <row r="315" spans="3:22" s="18" customFormat="1" ht="12">
      <c r="C315" s="19"/>
      <c r="D315" s="19"/>
      <c r="E315" s="19"/>
      <c r="F315" s="19"/>
      <c r="I315" s="654"/>
      <c r="J315" s="21"/>
      <c r="V315" s="4"/>
    </row>
    <row r="316" spans="3:22" s="18" customFormat="1" ht="12">
      <c r="C316" s="19"/>
      <c r="D316" s="19"/>
      <c r="E316" s="19"/>
      <c r="F316" s="19"/>
      <c r="I316" s="654"/>
      <c r="J316" s="21"/>
      <c r="V316" s="4"/>
    </row>
    <row r="317" spans="3:22" s="18" customFormat="1" ht="12">
      <c r="C317" s="19"/>
      <c r="D317" s="19"/>
      <c r="E317" s="19"/>
      <c r="F317" s="19"/>
      <c r="I317" s="654"/>
      <c r="J317" s="21"/>
      <c r="V317" s="4"/>
    </row>
    <row r="318" spans="3:22" s="18" customFormat="1" ht="12">
      <c r="C318" s="19"/>
      <c r="D318" s="19"/>
      <c r="E318" s="19"/>
      <c r="F318" s="19"/>
      <c r="I318" s="654"/>
      <c r="J318" s="21"/>
      <c r="V318" s="4"/>
    </row>
    <row r="319" spans="3:22" s="18" customFormat="1" ht="12">
      <c r="C319" s="19"/>
      <c r="D319" s="19"/>
      <c r="E319" s="19"/>
      <c r="F319" s="19"/>
      <c r="I319" s="654"/>
      <c r="J319" s="21"/>
      <c r="V319" s="4"/>
    </row>
    <row r="320" spans="3:22" s="18" customFormat="1" ht="12">
      <c r="C320" s="19"/>
      <c r="D320" s="19"/>
      <c r="E320" s="19"/>
      <c r="F320" s="19"/>
      <c r="I320" s="654"/>
      <c r="J320" s="21"/>
      <c r="V320" s="4"/>
    </row>
    <row r="321" spans="3:22" s="18" customFormat="1" ht="12">
      <c r="C321" s="19"/>
      <c r="D321" s="19"/>
      <c r="E321" s="19"/>
      <c r="F321" s="19"/>
      <c r="I321" s="654"/>
      <c r="J321" s="21"/>
      <c r="V321" s="4"/>
    </row>
    <row r="322" spans="3:22" s="18" customFormat="1" ht="12">
      <c r="C322" s="19"/>
      <c r="D322" s="19"/>
      <c r="E322" s="19"/>
      <c r="F322" s="19"/>
      <c r="I322" s="654"/>
      <c r="J322" s="21"/>
      <c r="V322" s="4"/>
    </row>
    <row r="323" spans="3:22" s="18" customFormat="1" ht="12">
      <c r="C323" s="19"/>
      <c r="D323" s="19"/>
      <c r="E323" s="19"/>
      <c r="F323" s="19"/>
      <c r="I323" s="654"/>
      <c r="J323" s="21"/>
      <c r="V323" s="4"/>
    </row>
    <row r="324" spans="3:22" s="18" customFormat="1" ht="12">
      <c r="C324" s="19"/>
      <c r="D324" s="19"/>
      <c r="E324" s="19"/>
      <c r="F324" s="19"/>
      <c r="I324" s="654"/>
      <c r="J324" s="21"/>
      <c r="V324" s="4"/>
    </row>
    <row r="325" spans="3:22" s="18" customFormat="1" ht="12">
      <c r="C325" s="19"/>
      <c r="D325" s="19"/>
      <c r="E325" s="19"/>
      <c r="F325" s="19"/>
      <c r="I325" s="654"/>
      <c r="J325" s="21"/>
      <c r="V325" s="4"/>
    </row>
    <row r="326" spans="3:22" s="18" customFormat="1" ht="12">
      <c r="C326" s="19"/>
      <c r="D326" s="19"/>
      <c r="E326" s="19"/>
      <c r="F326" s="19"/>
      <c r="I326" s="654"/>
      <c r="J326" s="21"/>
      <c r="V326" s="4"/>
    </row>
    <row r="327" spans="3:22" s="18" customFormat="1" ht="12">
      <c r="C327" s="19"/>
      <c r="D327" s="19"/>
      <c r="E327" s="19"/>
      <c r="F327" s="19"/>
      <c r="I327" s="654"/>
      <c r="J327" s="21"/>
      <c r="V327" s="4"/>
    </row>
    <row r="328" spans="3:22" s="18" customFormat="1" ht="12">
      <c r="C328" s="19"/>
      <c r="D328" s="19"/>
      <c r="E328" s="19"/>
      <c r="F328" s="19"/>
      <c r="I328" s="654"/>
      <c r="J328" s="21"/>
      <c r="V328" s="4"/>
    </row>
    <row r="329" spans="3:22" s="18" customFormat="1" ht="12">
      <c r="C329" s="19"/>
      <c r="D329" s="19"/>
      <c r="E329" s="19"/>
      <c r="F329" s="19"/>
      <c r="I329" s="654"/>
      <c r="J329" s="21"/>
      <c r="V329" s="4"/>
    </row>
    <row r="330" spans="3:22" s="18" customFormat="1" ht="12">
      <c r="C330" s="19"/>
      <c r="D330" s="19"/>
      <c r="E330" s="19"/>
      <c r="F330" s="19"/>
      <c r="I330" s="654"/>
      <c r="J330" s="21"/>
      <c r="V330" s="4"/>
    </row>
    <row r="331" spans="3:22" s="18" customFormat="1" ht="12">
      <c r="C331" s="19"/>
      <c r="D331" s="19"/>
      <c r="E331" s="19"/>
      <c r="F331" s="19"/>
      <c r="I331" s="654"/>
      <c r="J331" s="21"/>
      <c r="V331" s="4"/>
    </row>
    <row r="332" spans="3:22" s="18" customFormat="1" ht="12">
      <c r="C332" s="19"/>
      <c r="D332" s="19"/>
      <c r="E332" s="19"/>
      <c r="F332" s="19"/>
      <c r="I332" s="654"/>
      <c r="J332" s="21"/>
      <c r="V332" s="4"/>
    </row>
    <row r="333" spans="3:22" s="18" customFormat="1" ht="12">
      <c r="C333" s="19"/>
      <c r="D333" s="19"/>
      <c r="E333" s="19"/>
      <c r="F333" s="19"/>
      <c r="I333" s="654"/>
      <c r="J333" s="21"/>
      <c r="V333" s="4"/>
    </row>
    <row r="334" spans="3:22" s="18" customFormat="1" ht="12">
      <c r="C334" s="19"/>
      <c r="D334" s="19"/>
      <c r="E334" s="19"/>
      <c r="F334" s="19"/>
      <c r="I334" s="654"/>
      <c r="J334" s="21"/>
      <c r="V334" s="4"/>
    </row>
    <row r="335" spans="3:22" s="18" customFormat="1" ht="12">
      <c r="C335" s="19"/>
      <c r="D335" s="19"/>
      <c r="E335" s="19"/>
      <c r="F335" s="19"/>
      <c r="I335" s="654"/>
      <c r="J335" s="21"/>
      <c r="V335" s="4"/>
    </row>
    <row r="336" spans="3:22" s="18" customFormat="1" ht="12">
      <c r="C336" s="19"/>
      <c r="D336" s="19"/>
      <c r="E336" s="19"/>
      <c r="F336" s="19"/>
      <c r="I336" s="654"/>
      <c r="J336" s="21"/>
      <c r="V336" s="4"/>
    </row>
    <row r="337" spans="3:22" s="18" customFormat="1" ht="12">
      <c r="C337" s="19"/>
      <c r="D337" s="19"/>
      <c r="E337" s="19"/>
      <c r="F337" s="19"/>
      <c r="I337" s="654"/>
      <c r="J337" s="21"/>
      <c r="V337" s="4"/>
    </row>
    <row r="338" spans="3:22" s="18" customFormat="1" ht="12">
      <c r="C338" s="19"/>
      <c r="D338" s="19"/>
      <c r="E338" s="19"/>
      <c r="F338" s="19"/>
      <c r="I338" s="654"/>
      <c r="J338" s="21"/>
      <c r="V338" s="4"/>
    </row>
    <row r="339" spans="3:22" s="18" customFormat="1" ht="12">
      <c r="C339" s="19"/>
      <c r="D339" s="19"/>
      <c r="E339" s="19"/>
      <c r="F339" s="19"/>
      <c r="I339" s="654"/>
      <c r="J339" s="21"/>
      <c r="V339" s="4"/>
    </row>
    <row r="340" spans="3:22" s="18" customFormat="1" ht="12">
      <c r="C340" s="19"/>
      <c r="D340" s="19"/>
      <c r="E340" s="19"/>
      <c r="F340" s="19"/>
      <c r="I340" s="654"/>
      <c r="J340" s="21"/>
      <c r="V340" s="4"/>
    </row>
    <row r="341" spans="3:22" s="18" customFormat="1" ht="12">
      <c r="C341" s="19"/>
      <c r="D341" s="19"/>
      <c r="E341" s="19"/>
      <c r="F341" s="19"/>
      <c r="I341" s="654"/>
      <c r="J341" s="21"/>
      <c r="V341" s="4"/>
    </row>
    <row r="342" spans="3:22" s="18" customFormat="1" ht="12">
      <c r="C342" s="19"/>
      <c r="D342" s="19"/>
      <c r="E342" s="19"/>
      <c r="F342" s="19"/>
      <c r="I342" s="654"/>
      <c r="J342" s="21"/>
      <c r="V342" s="4"/>
    </row>
    <row r="343" spans="3:22" s="18" customFormat="1" ht="12">
      <c r="C343" s="19"/>
      <c r="D343" s="19"/>
      <c r="E343" s="19"/>
      <c r="F343" s="19"/>
      <c r="I343" s="654"/>
      <c r="J343" s="21"/>
      <c r="V343" s="4"/>
    </row>
    <row r="344" spans="3:22" s="18" customFormat="1" ht="12">
      <c r="C344" s="19"/>
      <c r="D344" s="19"/>
      <c r="E344" s="19"/>
      <c r="F344" s="19"/>
      <c r="I344" s="654"/>
      <c r="J344" s="21"/>
      <c r="V344" s="4"/>
    </row>
    <row r="345" spans="3:22" s="18" customFormat="1" ht="12">
      <c r="C345" s="19"/>
      <c r="D345" s="19"/>
      <c r="E345" s="19"/>
      <c r="F345" s="19"/>
      <c r="I345" s="654"/>
      <c r="J345" s="21"/>
      <c r="V345" s="4"/>
    </row>
    <row r="346" spans="3:22" s="18" customFormat="1" ht="12">
      <c r="C346" s="19"/>
      <c r="D346" s="19"/>
      <c r="E346" s="19"/>
      <c r="F346" s="19"/>
      <c r="I346" s="654"/>
      <c r="J346" s="21"/>
      <c r="V346" s="4"/>
    </row>
    <row r="347" spans="3:22" s="18" customFormat="1" ht="12">
      <c r="C347" s="19"/>
      <c r="D347" s="19"/>
      <c r="E347" s="19"/>
      <c r="F347" s="19"/>
      <c r="I347" s="654"/>
      <c r="J347" s="21"/>
      <c r="V347" s="4"/>
    </row>
    <row r="348" spans="3:22" s="18" customFormat="1" ht="12">
      <c r="C348" s="19"/>
      <c r="D348" s="19"/>
      <c r="E348" s="19"/>
      <c r="F348" s="19"/>
      <c r="I348" s="654"/>
      <c r="J348" s="21"/>
      <c r="V348" s="4"/>
    </row>
    <row r="349" spans="3:22" s="18" customFormat="1" ht="12">
      <c r="C349" s="19"/>
      <c r="D349" s="19"/>
      <c r="E349" s="19"/>
      <c r="F349" s="19"/>
      <c r="I349" s="654"/>
      <c r="J349" s="21"/>
      <c r="V349" s="4"/>
    </row>
    <row r="350" spans="3:22" s="18" customFormat="1" ht="12">
      <c r="C350" s="19"/>
      <c r="D350" s="19"/>
      <c r="E350" s="19"/>
      <c r="F350" s="19"/>
      <c r="I350" s="654"/>
      <c r="J350" s="21"/>
      <c r="V350" s="4"/>
    </row>
    <row r="351" spans="3:22" s="18" customFormat="1" ht="12">
      <c r="C351" s="19"/>
      <c r="D351" s="19"/>
      <c r="E351" s="19"/>
      <c r="F351" s="19"/>
      <c r="I351" s="654"/>
      <c r="J351" s="21"/>
      <c r="V351" s="4"/>
    </row>
    <row r="352" spans="3:22" s="18" customFormat="1" ht="12">
      <c r="C352" s="19"/>
      <c r="D352" s="19"/>
      <c r="E352" s="19"/>
      <c r="F352" s="19"/>
      <c r="I352" s="654"/>
      <c r="J352" s="21"/>
      <c r="V352" s="4"/>
    </row>
    <row r="353" spans="3:22" s="18" customFormat="1" ht="12">
      <c r="C353" s="19"/>
      <c r="D353" s="19"/>
      <c r="E353" s="19"/>
      <c r="F353" s="19"/>
      <c r="I353" s="654"/>
      <c r="J353" s="21"/>
      <c r="V353" s="4"/>
    </row>
    <row r="354" spans="3:22" s="18" customFormat="1" ht="12">
      <c r="C354" s="19"/>
      <c r="D354" s="19"/>
      <c r="E354" s="19"/>
      <c r="F354" s="19"/>
      <c r="I354" s="654"/>
      <c r="J354" s="21"/>
      <c r="V354" s="4"/>
    </row>
    <row r="355" spans="3:22" s="18" customFormat="1" ht="12">
      <c r="C355" s="19"/>
      <c r="D355" s="19"/>
      <c r="E355" s="19"/>
      <c r="F355" s="19"/>
      <c r="I355" s="654"/>
      <c r="J355" s="21"/>
      <c r="V355" s="4"/>
    </row>
    <row r="356" spans="3:22" s="18" customFormat="1" ht="12">
      <c r="C356" s="19"/>
      <c r="D356" s="19"/>
      <c r="E356" s="19"/>
      <c r="F356" s="19"/>
      <c r="I356" s="654"/>
      <c r="J356" s="21"/>
      <c r="V356" s="4"/>
    </row>
    <row r="357" spans="3:22" s="18" customFormat="1" ht="12">
      <c r="C357" s="19"/>
      <c r="D357" s="19"/>
      <c r="E357" s="19"/>
      <c r="F357" s="19"/>
      <c r="I357" s="654"/>
      <c r="J357" s="21"/>
      <c r="V357" s="4"/>
    </row>
    <row r="358" spans="3:22" s="18" customFormat="1" ht="12">
      <c r="C358" s="19"/>
      <c r="D358" s="19"/>
      <c r="E358" s="19"/>
      <c r="F358" s="19"/>
      <c r="I358" s="654"/>
      <c r="J358" s="21"/>
      <c r="V358" s="4"/>
    </row>
    <row r="359" spans="3:22" s="18" customFormat="1" ht="12">
      <c r="C359" s="19"/>
      <c r="D359" s="19"/>
      <c r="E359" s="19"/>
      <c r="F359" s="19"/>
      <c r="I359" s="654"/>
      <c r="J359" s="21"/>
      <c r="V359" s="4"/>
    </row>
    <row r="360" spans="3:22" s="18" customFormat="1" ht="12">
      <c r="C360" s="19"/>
      <c r="D360" s="19"/>
      <c r="E360" s="19"/>
      <c r="F360" s="19"/>
      <c r="I360" s="654"/>
      <c r="J360" s="21"/>
      <c r="V360" s="4"/>
    </row>
    <row r="361" spans="3:22" s="18" customFormat="1" ht="12">
      <c r="C361" s="19"/>
      <c r="D361" s="19"/>
      <c r="E361" s="19"/>
      <c r="F361" s="19"/>
      <c r="I361" s="654"/>
      <c r="J361" s="21"/>
      <c r="V361" s="4"/>
    </row>
    <row r="362" spans="3:22" s="18" customFormat="1" ht="12">
      <c r="C362" s="19"/>
      <c r="D362" s="19"/>
      <c r="E362" s="19"/>
      <c r="F362" s="19"/>
      <c r="I362" s="654"/>
      <c r="J362" s="21"/>
      <c r="V362" s="4"/>
    </row>
    <row r="363" spans="3:22" s="18" customFormat="1" ht="12">
      <c r="C363" s="19"/>
      <c r="D363" s="19"/>
      <c r="E363" s="19"/>
      <c r="F363" s="19"/>
      <c r="I363" s="654"/>
      <c r="J363" s="21"/>
      <c r="V363" s="4"/>
    </row>
    <row r="364" spans="3:22" s="18" customFormat="1" ht="12">
      <c r="C364" s="19"/>
      <c r="D364" s="19"/>
      <c r="E364" s="19"/>
      <c r="F364" s="19"/>
      <c r="I364" s="654"/>
      <c r="J364" s="21"/>
      <c r="V364" s="4"/>
    </row>
    <row r="365" spans="3:22" s="18" customFormat="1" ht="12">
      <c r="C365" s="19"/>
      <c r="D365" s="19"/>
      <c r="E365" s="19"/>
      <c r="F365" s="19"/>
      <c r="I365" s="654"/>
      <c r="J365" s="21"/>
      <c r="V365" s="4"/>
    </row>
    <row r="366" spans="3:22" s="18" customFormat="1" ht="12">
      <c r="C366" s="19"/>
      <c r="D366" s="19"/>
      <c r="E366" s="19"/>
      <c r="F366" s="19"/>
      <c r="I366" s="654"/>
      <c r="J366" s="21"/>
      <c r="V366" s="4"/>
    </row>
    <row r="367" spans="3:22" s="18" customFormat="1" ht="12">
      <c r="C367" s="19"/>
      <c r="D367" s="19"/>
      <c r="E367" s="19"/>
      <c r="F367" s="19"/>
      <c r="I367" s="654"/>
      <c r="J367" s="21"/>
      <c r="V367" s="4"/>
    </row>
    <row r="368" spans="3:22" s="18" customFormat="1" ht="12">
      <c r="C368" s="19"/>
      <c r="D368" s="19"/>
      <c r="E368" s="19"/>
      <c r="F368" s="19"/>
      <c r="I368" s="654"/>
      <c r="J368" s="21"/>
      <c r="V368" s="4"/>
    </row>
    <row r="369" spans="3:22" s="18" customFormat="1" ht="12">
      <c r="C369" s="19"/>
      <c r="D369" s="19"/>
      <c r="E369" s="19"/>
      <c r="F369" s="19"/>
      <c r="I369" s="654"/>
      <c r="J369" s="21"/>
      <c r="V369" s="4"/>
    </row>
    <row r="370" spans="3:22" s="18" customFormat="1" ht="12">
      <c r="C370" s="19"/>
      <c r="D370" s="19"/>
      <c r="E370" s="19"/>
      <c r="F370" s="19"/>
      <c r="I370" s="654"/>
      <c r="J370" s="21"/>
      <c r="V370" s="4"/>
    </row>
    <row r="371" spans="3:22" s="18" customFormat="1" ht="12">
      <c r="C371" s="19"/>
      <c r="D371" s="19"/>
      <c r="E371" s="19"/>
      <c r="F371" s="19"/>
      <c r="I371" s="654"/>
      <c r="J371" s="21"/>
      <c r="V371" s="4"/>
    </row>
    <row r="372" spans="3:22" s="18" customFormat="1" ht="12">
      <c r="C372" s="19"/>
      <c r="D372" s="19"/>
      <c r="E372" s="19"/>
      <c r="F372" s="19"/>
      <c r="I372" s="654"/>
      <c r="J372" s="21"/>
      <c r="V372" s="4"/>
    </row>
    <row r="373" spans="3:22" s="18" customFormat="1" ht="12">
      <c r="C373" s="19"/>
      <c r="D373" s="19"/>
      <c r="E373" s="19"/>
      <c r="F373" s="19"/>
      <c r="I373" s="654"/>
      <c r="J373" s="21"/>
      <c r="V373" s="4"/>
    </row>
    <row r="374" spans="3:22" s="18" customFormat="1" ht="12">
      <c r="C374" s="19"/>
      <c r="D374" s="19"/>
      <c r="E374" s="19"/>
      <c r="F374" s="19"/>
      <c r="I374" s="654"/>
      <c r="J374" s="21"/>
      <c r="V374" s="4"/>
    </row>
    <row r="375" spans="3:22" s="18" customFormat="1" ht="12">
      <c r="C375" s="19"/>
      <c r="D375" s="19"/>
      <c r="E375" s="19"/>
      <c r="F375" s="19"/>
      <c r="I375" s="654"/>
      <c r="J375" s="21"/>
      <c r="V375" s="4"/>
    </row>
    <row r="376" spans="3:22" s="18" customFormat="1" ht="12">
      <c r="C376" s="19"/>
      <c r="D376" s="19"/>
      <c r="E376" s="19"/>
      <c r="F376" s="19"/>
      <c r="I376" s="654"/>
      <c r="J376" s="21"/>
      <c r="V376" s="4"/>
    </row>
    <row r="377" spans="3:22" s="18" customFormat="1" ht="12">
      <c r="C377" s="19"/>
      <c r="D377" s="19"/>
      <c r="E377" s="19"/>
      <c r="F377" s="19"/>
      <c r="I377" s="654"/>
      <c r="J377" s="21"/>
      <c r="V377" s="4"/>
    </row>
    <row r="378" spans="3:22" s="18" customFormat="1" ht="12">
      <c r="C378" s="19"/>
      <c r="D378" s="19"/>
      <c r="E378" s="19"/>
      <c r="F378" s="19"/>
      <c r="I378" s="654"/>
      <c r="J378" s="21"/>
      <c r="V378" s="4"/>
    </row>
    <row r="379" spans="3:22" s="18" customFormat="1" ht="12">
      <c r="C379" s="19"/>
      <c r="D379" s="19"/>
      <c r="E379" s="19"/>
      <c r="F379" s="19"/>
      <c r="I379" s="654"/>
      <c r="J379" s="21"/>
      <c r="V379" s="4"/>
    </row>
    <row r="380" spans="3:22" s="18" customFormat="1" ht="12">
      <c r="C380" s="19"/>
      <c r="D380" s="19"/>
      <c r="E380" s="19"/>
      <c r="F380" s="19"/>
      <c r="I380" s="654"/>
      <c r="J380" s="21"/>
      <c r="V380" s="4"/>
    </row>
    <row r="381" spans="3:22" s="18" customFormat="1" ht="12">
      <c r="C381" s="19"/>
      <c r="D381" s="19"/>
      <c r="E381" s="19"/>
      <c r="F381" s="19"/>
      <c r="I381" s="654"/>
      <c r="J381" s="21"/>
      <c r="V381" s="4"/>
    </row>
    <row r="382" spans="3:22" s="18" customFormat="1" ht="12">
      <c r="C382" s="19"/>
      <c r="D382" s="19"/>
      <c r="E382" s="19"/>
      <c r="F382" s="19"/>
      <c r="I382" s="654"/>
      <c r="J382" s="21"/>
      <c r="V382" s="4"/>
    </row>
    <row r="383" spans="3:22" s="18" customFormat="1" ht="12">
      <c r="C383" s="19"/>
      <c r="D383" s="19"/>
      <c r="E383" s="19"/>
      <c r="F383" s="19"/>
      <c r="I383" s="654"/>
      <c r="J383" s="21"/>
      <c r="V383" s="4"/>
    </row>
    <row r="384" spans="3:22" s="18" customFormat="1" ht="12">
      <c r="C384" s="19"/>
      <c r="D384" s="19"/>
      <c r="E384" s="19"/>
      <c r="F384" s="19"/>
      <c r="I384" s="654"/>
      <c r="J384" s="21"/>
      <c r="V384" s="4"/>
    </row>
    <row r="385" spans="3:22" s="18" customFormat="1" ht="12">
      <c r="C385" s="19"/>
      <c r="D385" s="19"/>
      <c r="E385" s="19"/>
      <c r="F385" s="19"/>
      <c r="I385" s="654"/>
      <c r="J385" s="21"/>
      <c r="V385" s="4"/>
    </row>
    <row r="386" spans="3:22" s="18" customFormat="1" ht="12">
      <c r="C386" s="19"/>
      <c r="D386" s="19"/>
      <c r="E386" s="19"/>
      <c r="F386" s="19"/>
      <c r="I386" s="654"/>
      <c r="J386" s="21"/>
      <c r="V386" s="4"/>
    </row>
    <row r="387" spans="3:22" s="18" customFormat="1" ht="12">
      <c r="C387" s="19"/>
      <c r="D387" s="19"/>
      <c r="E387" s="19"/>
      <c r="F387" s="19"/>
      <c r="I387" s="654"/>
      <c r="J387" s="21"/>
      <c r="V387" s="4"/>
    </row>
    <row r="388" spans="3:22" s="18" customFormat="1" ht="12">
      <c r="C388" s="19"/>
      <c r="D388" s="19"/>
      <c r="E388" s="19"/>
      <c r="F388" s="19"/>
      <c r="I388" s="654"/>
      <c r="J388" s="21"/>
      <c r="V388" s="4"/>
    </row>
    <row r="389" spans="3:22" s="18" customFormat="1" ht="12">
      <c r="C389" s="19"/>
      <c r="D389" s="19"/>
      <c r="E389" s="19"/>
      <c r="F389" s="19"/>
      <c r="I389" s="654"/>
      <c r="J389" s="21"/>
      <c r="V389" s="4"/>
    </row>
    <row r="390" spans="3:22" s="18" customFormat="1" ht="12">
      <c r="C390" s="19"/>
      <c r="D390" s="19"/>
      <c r="E390" s="19"/>
      <c r="F390" s="19"/>
      <c r="I390" s="654"/>
      <c r="J390" s="21"/>
      <c r="V390" s="4"/>
    </row>
    <row r="391" spans="3:22" s="18" customFormat="1" ht="12">
      <c r="C391" s="19"/>
      <c r="D391" s="19"/>
      <c r="E391" s="19"/>
      <c r="F391" s="19"/>
      <c r="I391" s="654"/>
      <c r="J391" s="21"/>
      <c r="V391" s="4"/>
    </row>
    <row r="392" spans="3:22" s="18" customFormat="1" ht="12">
      <c r="C392" s="19"/>
      <c r="D392" s="19"/>
      <c r="E392" s="19"/>
      <c r="F392" s="19"/>
      <c r="I392" s="654"/>
      <c r="J392" s="21"/>
      <c r="V392" s="4"/>
    </row>
    <row r="393" spans="3:22" s="18" customFormat="1" ht="12">
      <c r="C393" s="19"/>
      <c r="D393" s="19"/>
      <c r="E393" s="19"/>
      <c r="F393" s="19"/>
      <c r="I393" s="654"/>
      <c r="J393" s="21"/>
      <c r="V393" s="4"/>
    </row>
    <row r="394" spans="3:22" s="18" customFormat="1" ht="12">
      <c r="C394" s="19"/>
      <c r="D394" s="19"/>
      <c r="E394" s="19"/>
      <c r="F394" s="19"/>
      <c r="I394" s="654"/>
      <c r="J394" s="21"/>
      <c r="V394" s="4"/>
    </row>
    <row r="395" spans="3:22" s="18" customFormat="1" ht="12">
      <c r="C395" s="19"/>
      <c r="D395" s="19"/>
      <c r="E395" s="19"/>
      <c r="F395" s="19"/>
      <c r="I395" s="654"/>
      <c r="J395" s="21"/>
      <c r="V395" s="4"/>
    </row>
    <row r="396" spans="3:22" s="18" customFormat="1" ht="12">
      <c r="C396" s="19"/>
      <c r="D396" s="19"/>
      <c r="E396" s="19"/>
      <c r="F396" s="19"/>
      <c r="I396" s="654"/>
      <c r="J396" s="21"/>
      <c r="V396" s="4"/>
    </row>
    <row r="397" spans="3:22" s="18" customFormat="1" ht="12">
      <c r="C397" s="19"/>
      <c r="D397" s="19"/>
      <c r="E397" s="19"/>
      <c r="F397" s="19"/>
      <c r="I397" s="654"/>
      <c r="J397" s="21"/>
      <c r="V397" s="4"/>
    </row>
    <row r="398" spans="3:22" s="18" customFormat="1" ht="12">
      <c r="C398" s="19"/>
      <c r="D398" s="19"/>
      <c r="E398" s="19"/>
      <c r="F398" s="19"/>
      <c r="I398" s="654"/>
      <c r="J398" s="21"/>
      <c r="V398" s="4"/>
    </row>
    <row r="399" spans="3:22" s="18" customFormat="1" ht="12">
      <c r="C399" s="19"/>
      <c r="D399" s="19"/>
      <c r="E399" s="19"/>
      <c r="F399" s="19"/>
      <c r="I399" s="654"/>
      <c r="J399" s="21"/>
      <c r="V399" s="4"/>
    </row>
    <row r="400" spans="3:22" s="18" customFormat="1" ht="12">
      <c r="C400" s="19"/>
      <c r="D400" s="19"/>
      <c r="E400" s="19"/>
      <c r="F400" s="19"/>
      <c r="I400" s="654"/>
      <c r="J400" s="21"/>
      <c r="V400" s="4"/>
    </row>
    <row r="401" spans="3:22" s="18" customFormat="1" ht="12">
      <c r="C401" s="19"/>
      <c r="D401" s="19"/>
      <c r="E401" s="19"/>
      <c r="F401" s="19"/>
      <c r="I401" s="654"/>
      <c r="J401" s="21"/>
      <c r="V401" s="4"/>
    </row>
    <row r="402" spans="3:22" s="18" customFormat="1" ht="12">
      <c r="C402" s="19"/>
      <c r="D402" s="19"/>
      <c r="E402" s="19"/>
      <c r="F402" s="19"/>
      <c r="I402" s="654"/>
      <c r="J402" s="21"/>
      <c r="V402" s="4"/>
    </row>
    <row r="403" ht="15.75">
      <c r="I403" s="656"/>
    </row>
    <row r="404" ht="15.75">
      <c r="I404" s="656"/>
    </row>
    <row r="405" ht="15.75">
      <c r="I405" s="656"/>
    </row>
    <row r="406" ht="15.75">
      <c r="I406" s="656"/>
    </row>
    <row r="407" ht="15.75">
      <c r="I407" s="656"/>
    </row>
    <row r="408" ht="15.75">
      <c r="I408" s="656"/>
    </row>
    <row r="409" ht="15.75">
      <c r="I409" s="656"/>
    </row>
    <row r="410" ht="15.75">
      <c r="I410" s="656"/>
    </row>
    <row r="411" ht="15.75">
      <c r="I411" s="656"/>
    </row>
    <row r="412" ht="15.75">
      <c r="I412" s="656"/>
    </row>
    <row r="413" ht="15.75">
      <c r="I413" s="656"/>
    </row>
    <row r="414" ht="15.75">
      <c r="I414" s="656"/>
    </row>
    <row r="415" ht="15.75">
      <c r="I415" s="656"/>
    </row>
    <row r="416" ht="15.75">
      <c r="I416" s="656"/>
    </row>
    <row r="417" ht="15.75">
      <c r="I417" s="656"/>
    </row>
    <row r="418" ht="15.75">
      <c r="I418" s="656"/>
    </row>
    <row r="419" ht="15.75">
      <c r="I419" s="656"/>
    </row>
    <row r="420" ht="15.75">
      <c r="I420" s="656"/>
    </row>
    <row r="421" ht="15.75">
      <c r="I421" s="656"/>
    </row>
    <row r="422" ht="15.75">
      <c r="I422" s="656"/>
    </row>
    <row r="423" ht="15.75">
      <c r="I423" s="656"/>
    </row>
    <row r="424" ht="15.75">
      <c r="I424" s="656"/>
    </row>
    <row r="425" ht="15.75">
      <c r="I425" s="656"/>
    </row>
    <row r="426" ht="15.75">
      <c r="I426" s="656"/>
    </row>
    <row r="427" ht="15.75">
      <c r="I427" s="656"/>
    </row>
    <row r="428" ht="15.75">
      <c r="I428" s="656"/>
    </row>
    <row r="429" ht="15.75">
      <c r="I429" s="656"/>
    </row>
    <row r="430" ht="15.75">
      <c r="I430" s="656"/>
    </row>
    <row r="431" ht="15.75">
      <c r="I431" s="656"/>
    </row>
    <row r="432" ht="15.75">
      <c r="I432" s="656"/>
    </row>
    <row r="433" ht="15.75">
      <c r="I433" s="656"/>
    </row>
    <row r="434" ht="15.75">
      <c r="I434" s="656"/>
    </row>
    <row r="435" ht="15.75">
      <c r="I435" s="656"/>
    </row>
    <row r="436" ht="15.75">
      <c r="I436" s="656"/>
    </row>
    <row r="437" ht="15.75">
      <c r="I437" s="656"/>
    </row>
    <row r="438" ht="15.75">
      <c r="I438" s="656"/>
    </row>
    <row r="439" ht="15.75">
      <c r="I439" s="656"/>
    </row>
    <row r="440" ht="15.75">
      <c r="I440" s="656"/>
    </row>
    <row r="441" ht="15.75">
      <c r="I441" s="656"/>
    </row>
    <row r="442" ht="15.75">
      <c r="I442" s="656"/>
    </row>
    <row r="443" ht="15.75">
      <c r="I443" s="656"/>
    </row>
    <row r="444" ht="15.75">
      <c r="I444" s="656"/>
    </row>
    <row r="445" ht="15.75">
      <c r="I445" s="656"/>
    </row>
    <row r="446" ht="15.75">
      <c r="I446" s="656"/>
    </row>
    <row r="447" ht="15.75">
      <c r="I447" s="656"/>
    </row>
    <row r="448" ht="15.75">
      <c r="I448" s="656"/>
    </row>
    <row r="449" ht="15.75">
      <c r="I449" s="656"/>
    </row>
    <row r="450" ht="15.75">
      <c r="I450" s="656"/>
    </row>
    <row r="451" ht="15.75">
      <c r="I451" s="656"/>
    </row>
    <row r="452" ht="15.75">
      <c r="I452" s="656"/>
    </row>
    <row r="453" ht="15.75">
      <c r="I453" s="656"/>
    </row>
    <row r="454" ht="15.75">
      <c r="I454" s="656"/>
    </row>
    <row r="455" ht="15.75">
      <c r="I455" s="656"/>
    </row>
    <row r="456" ht="15.75">
      <c r="I456" s="656"/>
    </row>
    <row r="457" ht="15.75">
      <c r="I457" s="656"/>
    </row>
    <row r="458" ht="15.75">
      <c r="I458" s="656"/>
    </row>
    <row r="459" ht="15.75">
      <c r="I459" s="656"/>
    </row>
    <row r="460" ht="15.75">
      <c r="I460" s="656"/>
    </row>
    <row r="461" ht="15.75">
      <c r="I461" s="656"/>
    </row>
    <row r="462" ht="15.75">
      <c r="I462" s="656"/>
    </row>
    <row r="463" ht="15.75">
      <c r="I463" s="656"/>
    </row>
    <row r="464" ht="15.75">
      <c r="I464" s="656"/>
    </row>
    <row r="465" ht="15.75">
      <c r="I465" s="656"/>
    </row>
    <row r="466" ht="15.75">
      <c r="I466" s="656"/>
    </row>
    <row r="467" ht="15.75">
      <c r="I467" s="656"/>
    </row>
    <row r="468" ht="15.75">
      <c r="I468" s="656"/>
    </row>
    <row r="469" ht="15.75">
      <c r="I469" s="656"/>
    </row>
    <row r="470" ht="15.75">
      <c r="I470" s="656"/>
    </row>
    <row r="471" ht="15.75">
      <c r="I471" s="656"/>
    </row>
    <row r="472" ht="15.75">
      <c r="I472" s="656"/>
    </row>
    <row r="473" ht="15.75">
      <c r="I473" s="656"/>
    </row>
    <row r="474" ht="15.75">
      <c r="I474" s="656"/>
    </row>
    <row r="475" ht="15.75">
      <c r="I475" s="656"/>
    </row>
    <row r="476" ht="15.75">
      <c r="I476" s="656"/>
    </row>
    <row r="477" ht="15.75">
      <c r="I477" s="656"/>
    </row>
    <row r="478" ht="15.75">
      <c r="I478" s="656"/>
    </row>
    <row r="479" ht="15.75">
      <c r="I479" s="656"/>
    </row>
    <row r="480" ht="15.75">
      <c r="I480" s="656"/>
    </row>
    <row r="481" ht="15.75">
      <c r="I481" s="656"/>
    </row>
    <row r="482" ht="15.75">
      <c r="I482" s="656"/>
    </row>
    <row r="483" ht="15.75">
      <c r="I483" s="656"/>
    </row>
    <row r="484" ht="15.75">
      <c r="I484" s="656"/>
    </row>
    <row r="485" ht="15.75">
      <c r="I485" s="656"/>
    </row>
    <row r="486" ht="15.75">
      <c r="I486" s="656"/>
    </row>
    <row r="487" ht="15.75">
      <c r="I487" s="656"/>
    </row>
    <row r="488" ht="15.75">
      <c r="I488" s="656"/>
    </row>
    <row r="489" ht="15.75">
      <c r="I489" s="656"/>
    </row>
    <row r="490" ht="15.75">
      <c r="I490" s="656"/>
    </row>
    <row r="491" ht="15.75">
      <c r="I491" s="656"/>
    </row>
    <row r="492" ht="15.75">
      <c r="I492" s="656"/>
    </row>
    <row r="493" ht="15.75">
      <c r="I493" s="656"/>
    </row>
    <row r="494" ht="15.75">
      <c r="I494" s="656"/>
    </row>
    <row r="495" ht="15.75">
      <c r="I495" s="656"/>
    </row>
    <row r="496" ht="15.75">
      <c r="I496" s="656"/>
    </row>
    <row r="497" ht="15.75">
      <c r="I497" s="656"/>
    </row>
    <row r="498" ht="15.75">
      <c r="I498" s="656"/>
    </row>
    <row r="499" ht="15.75">
      <c r="I499" s="656"/>
    </row>
    <row r="500" ht="15.75">
      <c r="I500" s="656"/>
    </row>
    <row r="501" ht="15.75">
      <c r="I501" s="656"/>
    </row>
    <row r="502" ht="15.75">
      <c r="I502" s="656"/>
    </row>
    <row r="503" ht="15.75">
      <c r="I503" s="656"/>
    </row>
    <row r="504" ht="15.75">
      <c r="I504" s="656"/>
    </row>
    <row r="505" ht="15.75">
      <c r="I505" s="656"/>
    </row>
    <row r="506" ht="15.75">
      <c r="I506" s="656"/>
    </row>
    <row r="507" ht="15.75">
      <c r="I507" s="656"/>
    </row>
    <row r="508" ht="15.75">
      <c r="I508" s="656"/>
    </row>
    <row r="509" ht="15.75">
      <c r="I509" s="656"/>
    </row>
    <row r="510" ht="15.75">
      <c r="I510" s="656"/>
    </row>
    <row r="511" ht="15.75">
      <c r="I511" s="656"/>
    </row>
    <row r="512" ht="15.75">
      <c r="I512" s="656"/>
    </row>
    <row r="513" ht="15.75">
      <c r="I513" s="656"/>
    </row>
    <row r="514" ht="15.75">
      <c r="I514" s="656"/>
    </row>
    <row r="515" ht="15.75">
      <c r="I515" s="656"/>
    </row>
    <row r="516" ht="15.75">
      <c r="I516" s="656"/>
    </row>
    <row r="517" ht="15.75">
      <c r="I517" s="656"/>
    </row>
    <row r="518" ht="15.75">
      <c r="I518" s="656"/>
    </row>
    <row r="519" ht="15.75">
      <c r="I519" s="656"/>
    </row>
    <row r="520" ht="15.75">
      <c r="I520" s="656"/>
    </row>
    <row r="521" ht="15.75">
      <c r="I521" s="656"/>
    </row>
    <row r="522" ht="15.75">
      <c r="I522" s="656"/>
    </row>
    <row r="523" ht="15.75">
      <c r="I523" s="656"/>
    </row>
    <row r="524" ht="15.75">
      <c r="I524" s="656"/>
    </row>
    <row r="525" ht="15.75">
      <c r="I525" s="656"/>
    </row>
    <row r="526" ht="15.75">
      <c r="I526" s="656"/>
    </row>
    <row r="527" ht="15.75">
      <c r="I527" s="656"/>
    </row>
    <row r="528" ht="15.75">
      <c r="I528" s="656"/>
    </row>
    <row r="529" ht="15.75">
      <c r="I529" s="656"/>
    </row>
    <row r="530" ht="15.75">
      <c r="I530" s="656"/>
    </row>
    <row r="531" ht="15.75">
      <c r="I531" s="656"/>
    </row>
    <row r="532" ht="15.75">
      <c r="I532" s="656"/>
    </row>
    <row r="533" ht="15.75">
      <c r="I533" s="656"/>
    </row>
    <row r="534" ht="15.75">
      <c r="I534" s="656"/>
    </row>
    <row r="535" ht="15.75">
      <c r="I535" s="656"/>
    </row>
    <row r="536" ht="15.75">
      <c r="I536" s="656"/>
    </row>
    <row r="537" ht="15.75">
      <c r="I537" s="656"/>
    </row>
    <row r="538" ht="15.75">
      <c r="I538" s="656"/>
    </row>
    <row r="539" ht="15.75">
      <c r="I539" s="656"/>
    </row>
    <row r="540" ht="15.75">
      <c r="I540" s="656"/>
    </row>
    <row r="541" ht="15.75">
      <c r="I541" s="656"/>
    </row>
    <row r="542" ht="15.75">
      <c r="I542" s="656"/>
    </row>
    <row r="543" ht="15.75">
      <c r="I543" s="656"/>
    </row>
    <row r="544" ht="15.75">
      <c r="I544" s="656"/>
    </row>
    <row r="545" ht="15.75">
      <c r="I545" s="656"/>
    </row>
    <row r="546" ht="15.75">
      <c r="I546" s="656"/>
    </row>
    <row r="547" ht="15.75">
      <c r="I547" s="656"/>
    </row>
    <row r="548" ht="15.75">
      <c r="I548" s="656"/>
    </row>
    <row r="549" ht="15.75">
      <c r="I549" s="656"/>
    </row>
    <row r="550" ht="15.75">
      <c r="I550" s="656"/>
    </row>
    <row r="551" ht="15.75">
      <c r="I551" s="656"/>
    </row>
    <row r="552" ht="15.75">
      <c r="I552" s="656"/>
    </row>
    <row r="553" ht="15.75">
      <c r="I553" s="656"/>
    </row>
    <row r="554" ht="15.75">
      <c r="I554" s="656"/>
    </row>
    <row r="555" ht="15.75">
      <c r="I555" s="656"/>
    </row>
    <row r="556" ht="15.75">
      <c r="I556" s="656"/>
    </row>
    <row r="557" ht="15.75">
      <c r="I557" s="656"/>
    </row>
    <row r="558" ht="15.75">
      <c r="I558" s="656"/>
    </row>
    <row r="559" ht="15.75">
      <c r="I559" s="656"/>
    </row>
    <row r="560" ht="15.75">
      <c r="I560" s="656"/>
    </row>
    <row r="561" ht="15.75">
      <c r="I561" s="656"/>
    </row>
    <row r="562" ht="15.75">
      <c r="I562" s="656"/>
    </row>
    <row r="563" ht="15.75">
      <c r="I563" s="656"/>
    </row>
    <row r="564" ht="15.75">
      <c r="I564" s="656"/>
    </row>
    <row r="565" ht="15.75">
      <c r="I565" s="656"/>
    </row>
    <row r="566" ht="15.75">
      <c r="I566" s="656"/>
    </row>
    <row r="567" ht="15.75">
      <c r="I567" s="656"/>
    </row>
    <row r="568" ht="15.75">
      <c r="I568" s="656"/>
    </row>
    <row r="569" ht="15.75">
      <c r="I569" s="656"/>
    </row>
    <row r="570" ht="15.75">
      <c r="I570" s="656"/>
    </row>
    <row r="571" ht="15.75">
      <c r="I571" s="656"/>
    </row>
    <row r="572" ht="15.75">
      <c r="I572" s="656"/>
    </row>
    <row r="573" ht="15.75">
      <c r="I573" s="656"/>
    </row>
    <row r="574" ht="15.75">
      <c r="I574" s="656"/>
    </row>
    <row r="575" ht="15.75">
      <c r="I575" s="656"/>
    </row>
    <row r="576" ht="15.75">
      <c r="I576" s="656"/>
    </row>
    <row r="577" ht="15.75">
      <c r="I577" s="656"/>
    </row>
    <row r="578" ht="15.75">
      <c r="I578" s="656"/>
    </row>
    <row r="579" ht="15.75">
      <c r="I579" s="656"/>
    </row>
    <row r="580" ht="15.75">
      <c r="I580" s="656"/>
    </row>
    <row r="581" ht="15.75">
      <c r="I581" s="656"/>
    </row>
    <row r="582" ht="15.75">
      <c r="I582" s="656"/>
    </row>
    <row r="583" ht="15.75">
      <c r="I583" s="656"/>
    </row>
    <row r="584" ht="15.75">
      <c r="I584" s="656"/>
    </row>
    <row r="585" ht="15.75">
      <c r="I585" s="656"/>
    </row>
    <row r="586" ht="15.75">
      <c r="I586" s="656"/>
    </row>
    <row r="587" ht="15.75">
      <c r="I587" s="656"/>
    </row>
    <row r="588" ht="15.75">
      <c r="I588" s="656"/>
    </row>
    <row r="589" ht="15.75">
      <c r="I589" s="656"/>
    </row>
    <row r="590" ht="15.75">
      <c r="I590" s="656"/>
    </row>
    <row r="591" ht="15.75">
      <c r="I591" s="656"/>
    </row>
    <row r="592" ht="15.75">
      <c r="I592" s="656"/>
    </row>
    <row r="593" ht="15.75">
      <c r="I593" s="656"/>
    </row>
    <row r="594" ht="15.75">
      <c r="I594" s="656"/>
    </row>
    <row r="595" ht="15.75">
      <c r="I595" s="656"/>
    </row>
    <row r="596" ht="15.75">
      <c r="I596" s="656"/>
    </row>
    <row r="597" ht="15.75">
      <c r="I597" s="656"/>
    </row>
    <row r="598" ht="15.75">
      <c r="I598" s="656"/>
    </row>
    <row r="599" ht="15.75">
      <c r="I599" s="656"/>
    </row>
    <row r="600" ht="15.75">
      <c r="I600" s="656"/>
    </row>
    <row r="601" ht="15.75">
      <c r="I601" s="656"/>
    </row>
    <row r="602" ht="15.75">
      <c r="I602" s="656"/>
    </row>
    <row r="603" ht="15.75">
      <c r="I603" s="656"/>
    </row>
    <row r="604" ht="15.75">
      <c r="I604" s="656"/>
    </row>
    <row r="605" ht="15.75">
      <c r="I605" s="656"/>
    </row>
    <row r="606" ht="15.75">
      <c r="I606" s="656"/>
    </row>
    <row r="607" ht="15.75">
      <c r="I607" s="656"/>
    </row>
    <row r="608" ht="15.75">
      <c r="I608" s="656"/>
    </row>
    <row r="609" ht="15.75">
      <c r="I609" s="656"/>
    </row>
    <row r="610" ht="15.75">
      <c r="I610" s="656"/>
    </row>
    <row r="611" ht="15.75">
      <c r="I611" s="656"/>
    </row>
    <row r="612" ht="15.75">
      <c r="I612" s="656"/>
    </row>
    <row r="613" ht="15.75">
      <c r="I613" s="656"/>
    </row>
    <row r="614" ht="15.75">
      <c r="I614" s="656"/>
    </row>
    <row r="615" ht="15.75">
      <c r="I615" s="656"/>
    </row>
    <row r="616" ht="15.75">
      <c r="I616" s="656"/>
    </row>
    <row r="617" ht="15.75">
      <c r="I617" s="656"/>
    </row>
    <row r="618" ht="15.75">
      <c r="I618" s="656"/>
    </row>
    <row r="619" ht="15.75">
      <c r="I619" s="656"/>
    </row>
    <row r="620" ht="15.75">
      <c r="I620" s="656"/>
    </row>
    <row r="621" ht="15.75">
      <c r="I621" s="656"/>
    </row>
    <row r="622" ht="15.75">
      <c r="I622" s="656"/>
    </row>
    <row r="623" ht="15.75">
      <c r="I623" s="656"/>
    </row>
    <row r="624" ht="15.75">
      <c r="I624" s="656"/>
    </row>
    <row r="625" ht="15.75">
      <c r="I625" s="656"/>
    </row>
    <row r="626" ht="15.75">
      <c r="I626" s="656"/>
    </row>
    <row r="627" ht="15.75">
      <c r="I627" s="656"/>
    </row>
    <row r="628" ht="15.75">
      <c r="I628" s="656"/>
    </row>
    <row r="629" ht="15.75">
      <c r="I629" s="656"/>
    </row>
    <row r="630" ht="15.75">
      <c r="I630" s="656"/>
    </row>
    <row r="631" ht="15.75">
      <c r="I631" s="656"/>
    </row>
    <row r="632" ht="15.75">
      <c r="I632" s="656"/>
    </row>
    <row r="633" ht="15.75">
      <c r="I633" s="656"/>
    </row>
    <row r="634" ht="15.75">
      <c r="I634" s="656"/>
    </row>
    <row r="635" ht="15.75">
      <c r="I635" s="656"/>
    </row>
    <row r="636" ht="15.75">
      <c r="I636" s="656"/>
    </row>
    <row r="637" ht="15.75">
      <c r="I637" s="656"/>
    </row>
    <row r="638" ht="15.75">
      <c r="I638" s="656"/>
    </row>
    <row r="639" ht="15.75">
      <c r="I639" s="656"/>
    </row>
    <row r="640" ht="15.75">
      <c r="I640" s="656"/>
    </row>
    <row r="641" ht="15.75">
      <c r="I641" s="656"/>
    </row>
    <row r="642" ht="15.75">
      <c r="I642" s="656"/>
    </row>
    <row r="643" ht="15.75">
      <c r="I643" s="656"/>
    </row>
    <row r="644" ht="15.75">
      <c r="I644" s="656"/>
    </row>
    <row r="645" ht="15.75">
      <c r="I645" s="656"/>
    </row>
    <row r="646" ht="15.75">
      <c r="I646" s="656"/>
    </row>
    <row r="647" ht="15.75">
      <c r="I647" s="656"/>
    </row>
    <row r="648" ht="15.75">
      <c r="I648" s="656"/>
    </row>
    <row r="649" ht="15.75">
      <c r="I649" s="656"/>
    </row>
    <row r="650" ht="15.75">
      <c r="I650" s="656"/>
    </row>
    <row r="651" ht="15.75">
      <c r="I651" s="656"/>
    </row>
    <row r="652" ht="15.75">
      <c r="I652" s="656"/>
    </row>
    <row r="653" ht="15.75">
      <c r="I653" s="656"/>
    </row>
    <row r="654" ht="15.75">
      <c r="I654" s="656"/>
    </row>
    <row r="655" ht="15.75">
      <c r="I655" s="656"/>
    </row>
    <row r="656" ht="15.75">
      <c r="I656" s="656"/>
    </row>
    <row r="657" ht="15.75">
      <c r="I657" s="656"/>
    </row>
    <row r="658" ht="15.75">
      <c r="I658" s="656"/>
    </row>
    <row r="659" ht="15.75">
      <c r="I659" s="656"/>
    </row>
    <row r="660" ht="15.75">
      <c r="I660" s="656"/>
    </row>
    <row r="661" ht="15.75">
      <c r="I661" s="656"/>
    </row>
    <row r="662" ht="15.75">
      <c r="I662" s="656"/>
    </row>
    <row r="663" ht="15.75">
      <c r="I663" s="656"/>
    </row>
    <row r="664" ht="15.75">
      <c r="I664" s="656"/>
    </row>
    <row r="665" ht="15.75">
      <c r="I665" s="656"/>
    </row>
    <row r="666" ht="15.75">
      <c r="I666" s="656"/>
    </row>
    <row r="667" ht="15.75">
      <c r="I667" s="656"/>
    </row>
    <row r="668" ht="15.75">
      <c r="I668" s="656"/>
    </row>
    <row r="669" ht="15.75">
      <c r="I669" s="656"/>
    </row>
    <row r="670" ht="15.75">
      <c r="I670" s="656"/>
    </row>
    <row r="671" ht="15.75">
      <c r="I671" s="656"/>
    </row>
    <row r="672" ht="15.75">
      <c r="I672" s="656"/>
    </row>
    <row r="673" ht="15.75">
      <c r="I673" s="656"/>
    </row>
    <row r="674" ht="15.75">
      <c r="I674" s="656"/>
    </row>
    <row r="675" ht="15.75">
      <c r="I675" s="656"/>
    </row>
    <row r="676" ht="15.75">
      <c r="I676" s="656"/>
    </row>
    <row r="677" ht="15.75">
      <c r="I677" s="656"/>
    </row>
    <row r="678" ht="15.75">
      <c r="I678" s="656"/>
    </row>
    <row r="679" ht="15.75">
      <c r="I679" s="656"/>
    </row>
    <row r="680" ht="15.75">
      <c r="I680" s="656"/>
    </row>
    <row r="681" ht="15.75">
      <c r="I681" s="656"/>
    </row>
    <row r="682" ht="15.75">
      <c r="I682" s="656"/>
    </row>
    <row r="683" ht="15.75">
      <c r="I683" s="656"/>
    </row>
    <row r="684" ht="15.75">
      <c r="I684" s="656"/>
    </row>
    <row r="685" ht="15.75">
      <c r="I685" s="656"/>
    </row>
    <row r="686" ht="15.75">
      <c r="I686" s="656"/>
    </row>
    <row r="687" ht="15.75">
      <c r="I687" s="656"/>
    </row>
    <row r="688" ht="15.75">
      <c r="I688" s="656"/>
    </row>
    <row r="689" ht="15.75">
      <c r="I689" s="656"/>
    </row>
    <row r="690" ht="15.75">
      <c r="I690" s="656"/>
    </row>
    <row r="691" ht="15.75">
      <c r="I691" s="656"/>
    </row>
    <row r="692" ht="15.75">
      <c r="I692" s="656"/>
    </row>
    <row r="693" ht="15.75">
      <c r="I693" s="656"/>
    </row>
    <row r="694" ht="15.75">
      <c r="I694" s="656"/>
    </row>
    <row r="695" ht="15.75">
      <c r="I695" s="656"/>
    </row>
    <row r="696" ht="15.75">
      <c r="I696" s="656"/>
    </row>
    <row r="697" ht="15.75">
      <c r="I697" s="656"/>
    </row>
    <row r="698" ht="15.75">
      <c r="I698" s="656"/>
    </row>
    <row r="699" ht="15.75">
      <c r="I699" s="656"/>
    </row>
    <row r="700" ht="15.75">
      <c r="I700" s="656"/>
    </row>
    <row r="701" ht="15.75">
      <c r="I701" s="656"/>
    </row>
    <row r="702" ht="15.75">
      <c r="I702" s="656"/>
    </row>
    <row r="703" ht="15.75">
      <c r="I703" s="656"/>
    </row>
    <row r="704" ht="15.75">
      <c r="I704" s="656"/>
    </row>
    <row r="705" ht="15.75">
      <c r="I705" s="656"/>
    </row>
    <row r="706" ht="15.75">
      <c r="I706" s="656"/>
    </row>
    <row r="707" ht="15.75">
      <c r="I707" s="656"/>
    </row>
    <row r="708" ht="15.75">
      <c r="I708" s="656"/>
    </row>
    <row r="709" ht="15.75">
      <c r="I709" s="656"/>
    </row>
    <row r="710" ht="15.75">
      <c r="I710" s="656"/>
    </row>
    <row r="711" ht="15.75">
      <c r="I711" s="656"/>
    </row>
    <row r="712" ht="15.75">
      <c r="I712" s="656"/>
    </row>
    <row r="713" ht="15.75">
      <c r="I713" s="656"/>
    </row>
    <row r="714" ht="15.75">
      <c r="I714" s="656"/>
    </row>
    <row r="715" ht="15.75">
      <c r="I715" s="656"/>
    </row>
    <row r="716" ht="15.75">
      <c r="I716" s="656"/>
    </row>
    <row r="717" ht="15.75">
      <c r="I717" s="656"/>
    </row>
    <row r="718" ht="15.75">
      <c r="I718" s="656"/>
    </row>
    <row r="719" ht="15.75">
      <c r="I719" s="656"/>
    </row>
    <row r="720" ht="15.75">
      <c r="I720" s="656"/>
    </row>
    <row r="721" ht="15.75">
      <c r="I721" s="656"/>
    </row>
    <row r="722" ht="15.75">
      <c r="I722" s="656"/>
    </row>
    <row r="723" ht="15.75">
      <c r="I723" s="656"/>
    </row>
    <row r="724" ht="15.75">
      <c r="I724" s="656"/>
    </row>
    <row r="725" ht="15.75">
      <c r="I725" s="656"/>
    </row>
    <row r="726" ht="15.75">
      <c r="I726" s="656"/>
    </row>
    <row r="727" ht="15.75">
      <c r="I727" s="656"/>
    </row>
    <row r="728" ht="15.75">
      <c r="I728" s="656"/>
    </row>
    <row r="729" ht="15.75">
      <c r="I729" s="656"/>
    </row>
    <row r="730" ht="15.75">
      <c r="I730" s="656"/>
    </row>
    <row r="731" ht="15.75">
      <c r="I731" s="656"/>
    </row>
    <row r="732" ht="15.75">
      <c r="I732" s="656"/>
    </row>
    <row r="733" ht="15.75">
      <c r="I733" s="656"/>
    </row>
    <row r="734" ht="15.75">
      <c r="I734" s="656"/>
    </row>
    <row r="735" ht="15.75">
      <c r="I735" s="656"/>
    </row>
    <row r="736" ht="15.75">
      <c r="I736" s="656"/>
    </row>
    <row r="737" ht="15.75">
      <c r="I737" s="656"/>
    </row>
    <row r="738" ht="15.75">
      <c r="I738" s="656"/>
    </row>
    <row r="739" ht="15.75">
      <c r="I739" s="656"/>
    </row>
    <row r="740" ht="15.75">
      <c r="I740" s="656"/>
    </row>
    <row r="741" ht="15.75">
      <c r="I741" s="656"/>
    </row>
    <row r="742" ht="15.75">
      <c r="I742" s="656"/>
    </row>
    <row r="743" ht="15.75">
      <c r="I743" s="656"/>
    </row>
    <row r="744" ht="15.75">
      <c r="I744" s="656"/>
    </row>
    <row r="745" ht="15.75">
      <c r="I745" s="656"/>
    </row>
    <row r="746" ht="15.75">
      <c r="I746" s="656"/>
    </row>
    <row r="747" ht="15.75">
      <c r="I747" s="656"/>
    </row>
    <row r="748" ht="15.75">
      <c r="I748" s="656"/>
    </row>
    <row r="749" ht="15.75">
      <c r="I749" s="656"/>
    </row>
    <row r="750" ht="15.75">
      <c r="I750" s="656"/>
    </row>
    <row r="751" ht="15.75">
      <c r="I751" s="656"/>
    </row>
    <row r="752" ht="15.75">
      <c r="I752" s="656"/>
    </row>
    <row r="753" ht="15.75">
      <c r="I753" s="656"/>
    </row>
    <row r="754" ht="15.75">
      <c r="I754" s="656"/>
    </row>
    <row r="755" ht="15.75">
      <c r="I755" s="656"/>
    </row>
    <row r="756" ht="15.75">
      <c r="I756" s="656"/>
    </row>
    <row r="757" ht="15.75">
      <c r="I757" s="656"/>
    </row>
    <row r="758" ht="15.75">
      <c r="I758" s="656"/>
    </row>
    <row r="759" ht="15.75">
      <c r="I759" s="656"/>
    </row>
    <row r="760" ht="15.75">
      <c r="I760" s="656"/>
    </row>
    <row r="761" ht="15.75">
      <c r="I761" s="656"/>
    </row>
    <row r="762" ht="15.75">
      <c r="I762" s="656"/>
    </row>
    <row r="763" ht="15.75">
      <c r="I763" s="656"/>
    </row>
    <row r="764" ht="15.75">
      <c r="I764" s="656"/>
    </row>
    <row r="765" ht="15.75">
      <c r="I765" s="656"/>
    </row>
    <row r="766" ht="15.75">
      <c r="I766" s="656"/>
    </row>
    <row r="767" ht="15.75">
      <c r="I767" s="656"/>
    </row>
    <row r="768" ht="15.75">
      <c r="I768" s="656"/>
    </row>
    <row r="769" ht="15.75">
      <c r="I769" s="656"/>
    </row>
    <row r="770" ht="15.75">
      <c r="I770" s="656"/>
    </row>
    <row r="771" ht="15.75">
      <c r="I771" s="656"/>
    </row>
    <row r="772" ht="15.75">
      <c r="I772" s="656"/>
    </row>
    <row r="773" ht="15.75">
      <c r="I773" s="656"/>
    </row>
    <row r="774" ht="15.75">
      <c r="I774" s="656"/>
    </row>
    <row r="775" ht="15.75">
      <c r="I775" s="656"/>
    </row>
    <row r="776" ht="15.75">
      <c r="I776" s="656"/>
    </row>
    <row r="777" ht="15.75">
      <c r="I777" s="656"/>
    </row>
    <row r="778" ht="15.75">
      <c r="I778" s="656"/>
    </row>
    <row r="779" ht="15.75">
      <c r="I779" s="656"/>
    </row>
    <row r="780" ht="15.75">
      <c r="I780" s="656"/>
    </row>
    <row r="781" ht="15.75">
      <c r="I781" s="656"/>
    </row>
    <row r="782" ht="15.75">
      <c r="I782" s="656"/>
    </row>
    <row r="783" ht="15.75">
      <c r="I783" s="656"/>
    </row>
    <row r="784" ht="15.75">
      <c r="I784" s="656"/>
    </row>
    <row r="785" ht="15.75">
      <c r="I785" s="656"/>
    </row>
    <row r="786" ht="15.75">
      <c r="I786" s="656"/>
    </row>
    <row r="787" ht="15.75">
      <c r="I787" s="656"/>
    </row>
    <row r="788" ht="15.75">
      <c r="I788" s="656"/>
    </row>
    <row r="789" ht="15.75">
      <c r="I789" s="656"/>
    </row>
    <row r="790" ht="15.75">
      <c r="I790" s="656"/>
    </row>
    <row r="791" ht="15.75">
      <c r="I791" s="656"/>
    </row>
    <row r="792" ht="15.75">
      <c r="I792" s="656"/>
    </row>
    <row r="793" ht="15.75">
      <c r="I793" s="656"/>
    </row>
    <row r="794" ht="15.75">
      <c r="I794" s="656"/>
    </row>
    <row r="795" ht="15.75">
      <c r="I795" s="656"/>
    </row>
    <row r="796" ht="15.75">
      <c r="I796" s="656"/>
    </row>
    <row r="797" ht="15.75">
      <c r="I797" s="656"/>
    </row>
    <row r="798" ht="15.75">
      <c r="I798" s="656"/>
    </row>
    <row r="799" ht="15.75">
      <c r="I799" s="656"/>
    </row>
    <row r="800" ht="15.75">
      <c r="I800" s="656"/>
    </row>
    <row r="801" ht="15.75">
      <c r="I801" s="656"/>
    </row>
    <row r="802" ht="15.75">
      <c r="I802" s="656"/>
    </row>
    <row r="803" ht="15.75">
      <c r="I803" s="656"/>
    </row>
    <row r="804" ht="15.75">
      <c r="I804" s="656"/>
    </row>
    <row r="805" ht="15.75">
      <c r="I805" s="656"/>
    </row>
    <row r="806" ht="15.75">
      <c r="I806" s="656"/>
    </row>
    <row r="807" ht="15.75">
      <c r="I807" s="656"/>
    </row>
    <row r="808" ht="15.75">
      <c r="I808" s="656"/>
    </row>
    <row r="809" ht="15.75">
      <c r="I809" s="656"/>
    </row>
    <row r="810" ht="15.75">
      <c r="I810" s="656"/>
    </row>
    <row r="811" ht="15.75">
      <c r="I811" s="656"/>
    </row>
    <row r="812" ht="15.75">
      <c r="I812" s="656"/>
    </row>
    <row r="813" ht="15.75">
      <c r="I813" s="656"/>
    </row>
    <row r="814" ht="15.75">
      <c r="I814" s="656"/>
    </row>
    <row r="815" ht="15.75">
      <c r="I815" s="656"/>
    </row>
    <row r="816" ht="15.75">
      <c r="I816" s="656"/>
    </row>
    <row r="817" ht="15.75">
      <c r="I817" s="656"/>
    </row>
    <row r="818" ht="15.75">
      <c r="I818" s="656"/>
    </row>
    <row r="819" ht="15.75">
      <c r="I819" s="656"/>
    </row>
    <row r="820" ht="15.75">
      <c r="I820" s="656"/>
    </row>
    <row r="821" ht="15.75">
      <c r="I821" s="656"/>
    </row>
    <row r="822" ht="15.75">
      <c r="I822" s="656"/>
    </row>
    <row r="823" ht="15.75">
      <c r="I823" s="656"/>
    </row>
    <row r="824" ht="15.75">
      <c r="I824" s="656"/>
    </row>
    <row r="825" ht="15.75">
      <c r="I825" s="656"/>
    </row>
    <row r="826" ht="15.75">
      <c r="I826" s="656"/>
    </row>
    <row r="827" ht="15.75">
      <c r="I827" s="656"/>
    </row>
    <row r="828" ht="15.75">
      <c r="I828" s="656"/>
    </row>
    <row r="829" ht="15.75">
      <c r="I829" s="656"/>
    </row>
    <row r="830" ht="15.75">
      <c r="I830" s="656"/>
    </row>
    <row r="831" ht="15.75">
      <c r="I831" s="656"/>
    </row>
    <row r="832" ht="15.75">
      <c r="I832" s="656"/>
    </row>
    <row r="833" ht="15.75">
      <c r="I833" s="656"/>
    </row>
    <row r="834" ht="15.75">
      <c r="I834" s="656"/>
    </row>
    <row r="835" ht="15.75">
      <c r="I835" s="656"/>
    </row>
    <row r="836" ht="15.75">
      <c r="I836" s="656"/>
    </row>
    <row r="837" ht="15.75">
      <c r="I837" s="656"/>
    </row>
    <row r="838" ht="15.75">
      <c r="I838" s="656"/>
    </row>
    <row r="839" ht="15.75">
      <c r="I839" s="656"/>
    </row>
    <row r="840" ht="15.75">
      <c r="I840" s="656"/>
    </row>
    <row r="841" ht="15.75">
      <c r="I841" s="656"/>
    </row>
    <row r="842" ht="15.75">
      <c r="I842" s="656"/>
    </row>
    <row r="843" ht="15.75">
      <c r="I843" s="656"/>
    </row>
    <row r="844" ht="15.75">
      <c r="I844" s="656"/>
    </row>
    <row r="845" ht="15.75">
      <c r="I845" s="656"/>
    </row>
    <row r="846" ht="15.75">
      <c r="I846" s="656"/>
    </row>
    <row r="847" ht="15.75">
      <c r="I847" s="656"/>
    </row>
    <row r="848" ht="15.75">
      <c r="I848" s="656"/>
    </row>
    <row r="849" ht="15.75">
      <c r="I849" s="656"/>
    </row>
    <row r="850" ht="15.75">
      <c r="I850" s="656"/>
    </row>
    <row r="851" ht="15.75">
      <c r="I851" s="656"/>
    </row>
    <row r="852" ht="15.75">
      <c r="I852" s="656"/>
    </row>
    <row r="853" ht="15.75">
      <c r="I853" s="656"/>
    </row>
    <row r="854" ht="15.75">
      <c r="I854" s="656"/>
    </row>
    <row r="855" ht="15.75">
      <c r="I855" s="656"/>
    </row>
    <row r="856" ht="15.75">
      <c r="I856" s="656"/>
    </row>
    <row r="857" ht="15.75">
      <c r="I857" s="656"/>
    </row>
    <row r="858" ht="15.75">
      <c r="I858" s="656"/>
    </row>
    <row r="859" ht="15.75">
      <c r="I859" s="656"/>
    </row>
    <row r="860" ht="15.75">
      <c r="I860" s="656"/>
    </row>
    <row r="861" ht="15.75">
      <c r="I861" s="656"/>
    </row>
    <row r="862" ht="15.75">
      <c r="I862" s="656"/>
    </row>
    <row r="863" ht="15.75">
      <c r="I863" s="656"/>
    </row>
    <row r="864" ht="15.75">
      <c r="I864" s="656"/>
    </row>
    <row r="865" ht="15.75">
      <c r="I865" s="656"/>
    </row>
    <row r="866" ht="15.75">
      <c r="I866" s="656"/>
    </row>
    <row r="867" ht="15.75">
      <c r="I867" s="656"/>
    </row>
    <row r="868" ht="15.75">
      <c r="I868" s="656"/>
    </row>
    <row r="869" ht="15.75">
      <c r="I869" s="656"/>
    </row>
    <row r="870" ht="15.75">
      <c r="I870" s="656"/>
    </row>
    <row r="871" ht="15.75">
      <c r="I871" s="656"/>
    </row>
    <row r="872" ht="15.75">
      <c r="I872" s="656"/>
    </row>
    <row r="873" ht="15.75">
      <c r="I873" s="656"/>
    </row>
    <row r="874" ht="15.75">
      <c r="I874" s="656"/>
    </row>
    <row r="875" ht="15.75">
      <c r="I875" s="656"/>
    </row>
    <row r="876" ht="15.75">
      <c r="I876" s="656"/>
    </row>
    <row r="877" ht="15.75">
      <c r="I877" s="656"/>
    </row>
    <row r="878" ht="15.75">
      <c r="I878" s="656"/>
    </row>
    <row r="879" ht="15.75">
      <c r="I879" s="656"/>
    </row>
    <row r="880" ht="15.75">
      <c r="I880" s="656"/>
    </row>
    <row r="881" ht="15.75">
      <c r="I881" s="656"/>
    </row>
    <row r="882" ht="15.75">
      <c r="I882" s="656"/>
    </row>
    <row r="883" ht="15.75">
      <c r="I883" s="656"/>
    </row>
    <row r="884" ht="15.75">
      <c r="I884" s="656"/>
    </row>
    <row r="885" ht="15.75">
      <c r="I885" s="656"/>
    </row>
    <row r="886" ht="15.75">
      <c r="I886" s="656"/>
    </row>
    <row r="887" ht="15.75">
      <c r="I887" s="656"/>
    </row>
    <row r="888" ht="15.75">
      <c r="I888" s="656"/>
    </row>
    <row r="889" ht="15.75">
      <c r="I889" s="656"/>
    </row>
    <row r="890" ht="15.75">
      <c r="I890" s="656"/>
    </row>
    <row r="891" ht="15.75">
      <c r="I891" s="656"/>
    </row>
    <row r="892" ht="15.75">
      <c r="I892" s="656"/>
    </row>
    <row r="893" ht="15.75">
      <c r="I893" s="656"/>
    </row>
    <row r="894" ht="15.75">
      <c r="I894" s="656"/>
    </row>
  </sheetData>
  <printOptions horizontalCentered="1" verticalCentered="1"/>
  <pageMargins left="0.76" right="0.7480314960629921" top="0.5118110236220472" bottom="0.6692913385826772" header="0.5118110236220472" footer="0.5118110236220472"/>
  <pageSetup fitToHeight="1" fitToWidth="1" horizontalDpi="600" verticalDpi="600" orientation="portrait" pageOrder="overThenDown" paperSize="8" scale="53" r:id="rId4"/>
  <headerFooter alignWithMargins="0">
    <oddFooter>&amp;Lcopyright Turner &amp; Townsend Project Management Ltd&amp;C&amp;P&amp;R&amp;Z&amp;F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95"/>
  <sheetViews>
    <sheetView view="pageBreakPreview" zoomScale="85" zoomScaleNormal="85" zoomScaleSheetLayoutView="85" workbookViewId="0" topLeftCell="A5">
      <selection activeCell="A5" sqref="A5"/>
    </sheetView>
  </sheetViews>
  <sheetFormatPr defaultColWidth="9.140625" defaultRowHeight="12.75"/>
  <cols>
    <col min="1" max="1" width="61.7109375" style="24" customWidth="1"/>
    <col min="2" max="3" width="13.140625" style="24" customWidth="1"/>
    <col min="4" max="4" width="12.57421875" style="24" customWidth="1"/>
    <col min="5" max="13" width="13.140625" style="25" customWidth="1"/>
    <col min="14" max="14" width="13.140625" style="26" customWidth="1"/>
    <col min="15" max="15" width="13.140625" style="134" customWidth="1"/>
    <col min="16" max="16" width="13.140625" style="26" customWidth="1"/>
    <col min="17" max="19" width="13.140625" style="27" customWidth="1"/>
    <col min="20" max="20" width="15.28125" style="27" customWidth="1"/>
    <col min="21" max="21" width="61.140625" style="28" customWidth="1"/>
    <col min="22" max="22" width="15.7109375" style="146" bestFit="1" customWidth="1"/>
    <col min="23" max="24" width="9.140625" style="146" customWidth="1"/>
    <col min="25" max="25" width="13.57421875" style="146" customWidth="1"/>
    <col min="26" max="26" width="9.140625" style="146" customWidth="1"/>
    <col min="27" max="27" width="15.421875" style="146" customWidth="1"/>
    <col min="28" max="28" width="9.140625" style="146" customWidth="1"/>
    <col min="29" max="29" width="10.8515625" style="146" customWidth="1"/>
    <col min="30" max="30" width="14.00390625" style="146" customWidth="1"/>
    <col min="31" max="32" width="15.7109375" style="146" customWidth="1"/>
    <col min="33" max="33" width="15.421875" style="146" customWidth="1"/>
    <col min="34" max="34" width="23.140625" style="146" customWidth="1"/>
    <col min="35" max="42" width="9.140625" style="146" customWidth="1"/>
    <col min="43" max="16384" width="9.140625" style="9" customWidth="1"/>
  </cols>
  <sheetData>
    <row r="1" spans="1:21" ht="15.75" hidden="1">
      <c r="A1" s="173"/>
      <c r="B1" s="174"/>
      <c r="C1" s="174"/>
      <c r="D1" s="174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176"/>
      <c r="P1" s="176"/>
      <c r="Q1" s="177"/>
      <c r="R1" s="177"/>
      <c r="S1" s="177"/>
      <c r="T1" s="177"/>
      <c r="U1" s="178"/>
    </row>
    <row r="2" spans="1:21" ht="17.25" hidden="1">
      <c r="A2" s="179" t="s">
        <v>269</v>
      </c>
      <c r="B2" s="180"/>
      <c r="C2" s="180"/>
      <c r="D2" s="180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2"/>
      <c r="P2" s="182"/>
      <c r="Q2" s="183"/>
      <c r="R2" s="183"/>
      <c r="S2" s="183"/>
      <c r="T2" s="183"/>
      <c r="U2" s="184"/>
    </row>
    <row r="3" spans="1:21" ht="15.75" hidden="1">
      <c r="A3" s="185"/>
      <c r="B3" s="180"/>
      <c r="C3" s="180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2"/>
      <c r="O3" s="182"/>
      <c r="P3" s="182"/>
      <c r="Q3" s="183"/>
      <c r="R3" s="183"/>
      <c r="S3" s="183"/>
      <c r="T3" s="183"/>
      <c r="U3" s="184"/>
    </row>
    <row r="4" spans="1:21" ht="15.75" hidden="1">
      <c r="A4" s="185"/>
      <c r="B4" s="180"/>
      <c r="C4" s="180"/>
      <c r="D4" s="180"/>
      <c r="E4" s="181"/>
      <c r="F4" s="181"/>
      <c r="G4" s="181"/>
      <c r="H4" s="181"/>
      <c r="I4" s="181"/>
      <c r="J4" s="181"/>
      <c r="K4" s="181"/>
      <c r="L4" s="181"/>
      <c r="M4" s="181"/>
      <c r="N4" s="182"/>
      <c r="O4" s="182"/>
      <c r="P4" s="182"/>
      <c r="Q4" s="183"/>
      <c r="R4" s="183"/>
      <c r="S4" s="183"/>
      <c r="T4" s="183"/>
      <c r="U4" s="184"/>
    </row>
    <row r="5" spans="1:42" s="2" customFormat="1" ht="29.25" customHeight="1">
      <c r="A5" s="168" t="s">
        <v>15</v>
      </c>
      <c r="B5" s="1095" t="s">
        <v>93</v>
      </c>
      <c r="C5" s="1096"/>
      <c r="D5" s="1097"/>
      <c r="E5" s="1095" t="s">
        <v>92</v>
      </c>
      <c r="F5" s="1096"/>
      <c r="G5" s="1097"/>
      <c r="H5" s="1095" t="s">
        <v>94</v>
      </c>
      <c r="I5" s="1096"/>
      <c r="J5" s="1097"/>
      <c r="K5" s="1095" t="s">
        <v>130</v>
      </c>
      <c r="L5" s="1096"/>
      <c r="M5" s="1097"/>
      <c r="N5" s="1095" t="s">
        <v>110</v>
      </c>
      <c r="O5" s="1096"/>
      <c r="P5" s="1097"/>
      <c r="Q5" s="1095" t="s">
        <v>109</v>
      </c>
      <c r="R5" s="1096"/>
      <c r="S5" s="1097"/>
      <c r="T5" s="119" t="s">
        <v>242</v>
      </c>
      <c r="U5" s="662" t="s">
        <v>131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</row>
    <row r="6" spans="1:42" s="2" customFormat="1" ht="54" customHeight="1" thickBot="1">
      <c r="A6" s="171" t="s">
        <v>255</v>
      </c>
      <c r="B6" s="97" t="s">
        <v>242</v>
      </c>
      <c r="C6" s="1" t="s">
        <v>243</v>
      </c>
      <c r="D6" s="98" t="s">
        <v>244</v>
      </c>
      <c r="E6" s="97" t="s">
        <v>242</v>
      </c>
      <c r="F6" s="1" t="s">
        <v>243</v>
      </c>
      <c r="G6" s="113" t="s">
        <v>244</v>
      </c>
      <c r="H6" s="97" t="s">
        <v>242</v>
      </c>
      <c r="I6" s="1" t="s">
        <v>243</v>
      </c>
      <c r="J6" s="98" t="s">
        <v>244</v>
      </c>
      <c r="K6" s="97" t="s">
        <v>242</v>
      </c>
      <c r="L6" s="1" t="s">
        <v>243</v>
      </c>
      <c r="M6" s="98" t="s">
        <v>244</v>
      </c>
      <c r="N6" s="97" t="s">
        <v>242</v>
      </c>
      <c r="O6" s="1" t="s">
        <v>243</v>
      </c>
      <c r="P6" s="133" t="s">
        <v>244</v>
      </c>
      <c r="Q6" s="97" t="s">
        <v>242</v>
      </c>
      <c r="R6" s="1" t="s">
        <v>243</v>
      </c>
      <c r="S6" s="98" t="s">
        <v>244</v>
      </c>
      <c r="T6" s="119"/>
      <c r="U6" s="33" t="s">
        <v>314</v>
      </c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</row>
    <row r="7" spans="1:72" ht="15" customHeight="1" thickBot="1">
      <c r="A7" s="373" t="str">
        <f>'2.Cost Allocation'!A7</f>
        <v>EAST INVERNESS FRAMEWORK PLAN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7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</row>
    <row r="8" spans="1:72" ht="15" customHeight="1">
      <c r="A8" s="196" t="str">
        <f>'2.Cost Allocation'!A8</f>
        <v>Schools</v>
      </c>
      <c r="B8" s="214"/>
      <c r="C8" s="163"/>
      <c r="D8" s="198"/>
      <c r="E8" s="214"/>
      <c r="F8" s="215"/>
      <c r="G8" s="198"/>
      <c r="H8" s="214"/>
      <c r="I8" s="215"/>
      <c r="J8" s="198"/>
      <c r="K8" s="214"/>
      <c r="L8" s="215"/>
      <c r="M8" s="198"/>
      <c r="N8" s="214"/>
      <c r="O8" s="215"/>
      <c r="P8" s="198"/>
      <c r="Q8" s="214"/>
      <c r="R8" s="215"/>
      <c r="S8" s="198"/>
      <c r="T8" s="216"/>
      <c r="U8" s="198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</row>
    <row r="9" spans="1:72" ht="15" customHeight="1">
      <c r="A9" s="169" t="str">
        <f>'2.Cost Allocation'!A9</f>
        <v>3 Nr 300 Pupil Primary Schools</v>
      </c>
      <c r="B9" s="127" t="s">
        <v>247</v>
      </c>
      <c r="C9" s="129" t="s">
        <v>247</v>
      </c>
      <c r="D9" s="192" t="s">
        <v>247</v>
      </c>
      <c r="E9" s="99">
        <f>'2.Cost Allocation'!$C$9</f>
        <v>24948000</v>
      </c>
      <c r="F9" s="88">
        <f>E9*0.2</f>
        <v>4989600</v>
      </c>
      <c r="G9" s="104">
        <f>E9-F9</f>
        <v>19958400</v>
      </c>
      <c r="H9" s="127" t="s">
        <v>247</v>
      </c>
      <c r="I9" s="128" t="s">
        <v>247</v>
      </c>
      <c r="J9" s="192" t="s">
        <v>247</v>
      </c>
      <c r="K9" s="127" t="s">
        <v>247</v>
      </c>
      <c r="L9" s="128" t="s">
        <v>247</v>
      </c>
      <c r="M9" s="192" t="s">
        <v>247</v>
      </c>
      <c r="N9" s="127" t="s">
        <v>247</v>
      </c>
      <c r="O9" s="128" t="s">
        <v>247</v>
      </c>
      <c r="P9" s="192" t="s">
        <v>247</v>
      </c>
      <c r="Q9" s="127" t="s">
        <v>247</v>
      </c>
      <c r="R9" s="128" t="s">
        <v>247</v>
      </c>
      <c r="S9" s="192" t="s">
        <v>247</v>
      </c>
      <c r="T9" s="120"/>
      <c r="U9" s="193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</row>
    <row r="10" spans="1:72" ht="15" customHeight="1">
      <c r="A10" s="169" t="str">
        <f>'2.Cost Allocation'!A10</f>
        <v>1 Nr 600 Pupil Secondary School</v>
      </c>
      <c r="B10" s="127" t="s">
        <v>247</v>
      </c>
      <c r="C10" s="129" t="s">
        <v>247</v>
      </c>
      <c r="D10" s="192" t="s">
        <v>247</v>
      </c>
      <c r="E10" s="99">
        <f>'2.Cost Allocation'!$C$10</f>
        <v>15840000</v>
      </c>
      <c r="F10" s="88">
        <f>E10*0.2</f>
        <v>3168000</v>
      </c>
      <c r="G10" s="104">
        <f>E10-F10</f>
        <v>12672000</v>
      </c>
      <c r="H10" s="127" t="s">
        <v>247</v>
      </c>
      <c r="I10" s="128" t="s">
        <v>247</v>
      </c>
      <c r="J10" s="192" t="s">
        <v>247</v>
      </c>
      <c r="K10" s="127" t="s">
        <v>247</v>
      </c>
      <c r="L10" s="128" t="s">
        <v>247</v>
      </c>
      <c r="M10" s="192" t="s">
        <v>247</v>
      </c>
      <c r="N10" s="127" t="s">
        <v>247</v>
      </c>
      <c r="O10" s="128" t="s">
        <v>247</v>
      </c>
      <c r="P10" s="192" t="s">
        <v>247</v>
      </c>
      <c r="Q10" s="127" t="s">
        <v>247</v>
      </c>
      <c r="R10" s="128" t="s">
        <v>247</v>
      </c>
      <c r="S10" s="192" t="s">
        <v>247</v>
      </c>
      <c r="T10" s="120"/>
      <c r="U10" s="193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</row>
    <row r="11" spans="1:72" ht="15" customHeight="1">
      <c r="A11" s="170" t="str">
        <f>'2.Cost Allocation'!A11</f>
        <v>Green Space</v>
      </c>
      <c r="B11" s="202"/>
      <c r="C11" s="86"/>
      <c r="D11" s="191"/>
      <c r="E11" s="202"/>
      <c r="F11" s="92"/>
      <c r="G11" s="191"/>
      <c r="H11" s="202"/>
      <c r="I11" s="92"/>
      <c r="J11" s="191"/>
      <c r="K11" s="202"/>
      <c r="L11" s="92"/>
      <c r="M11" s="191"/>
      <c r="N11" s="202"/>
      <c r="O11" s="92"/>
      <c r="P11" s="191"/>
      <c r="Q11" s="202"/>
      <c r="R11" s="92"/>
      <c r="S11" s="191"/>
      <c r="T11" s="154"/>
      <c r="U11" s="19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2" s="850" customFormat="1" ht="15" customHeight="1">
      <c r="A12" s="837" t="str">
        <f>'2.Cost Allocation'!A12</f>
        <v>13 hectares of formal park area</v>
      </c>
      <c r="B12" s="1072" t="s">
        <v>247</v>
      </c>
      <c r="C12" s="1073" t="s">
        <v>247</v>
      </c>
      <c r="D12" s="1074" t="s">
        <v>247</v>
      </c>
      <c r="E12" s="843">
        <v>8580000</v>
      </c>
      <c r="F12" s="851">
        <v>0</v>
      </c>
      <c r="G12" s="842">
        <f>E12-F12</f>
        <v>8580000</v>
      </c>
      <c r="H12" s="843" t="s">
        <v>247</v>
      </c>
      <c r="I12" s="844" t="s">
        <v>247</v>
      </c>
      <c r="J12" s="845" t="s">
        <v>247</v>
      </c>
      <c r="K12" s="843" t="s">
        <v>247</v>
      </c>
      <c r="L12" s="844" t="s">
        <v>247</v>
      </c>
      <c r="M12" s="845" t="s">
        <v>247</v>
      </c>
      <c r="N12" s="843" t="s">
        <v>247</v>
      </c>
      <c r="O12" s="844" t="s">
        <v>247</v>
      </c>
      <c r="P12" s="845" t="s">
        <v>247</v>
      </c>
      <c r="Q12" s="843" t="s">
        <v>247</v>
      </c>
      <c r="R12" s="844" t="s">
        <v>247</v>
      </c>
      <c r="S12" s="845" t="s">
        <v>247</v>
      </c>
      <c r="T12" s="846"/>
      <c r="U12" s="1075"/>
      <c r="V12" s="848"/>
      <c r="W12" s="848"/>
      <c r="X12" s="848"/>
      <c r="Y12" s="848"/>
      <c r="Z12" s="848"/>
      <c r="AA12" s="848"/>
      <c r="AB12" s="848"/>
      <c r="AC12" s="848"/>
      <c r="AD12" s="848"/>
      <c r="AE12" s="848"/>
      <c r="AF12" s="848"/>
      <c r="AG12" s="848"/>
      <c r="AH12" s="848"/>
      <c r="AI12" s="848"/>
      <c r="AJ12" s="848"/>
      <c r="AK12" s="848"/>
      <c r="AL12" s="848"/>
      <c r="AM12" s="848"/>
      <c r="AN12" s="848"/>
      <c r="AO12" s="848"/>
      <c r="AP12" s="848"/>
      <c r="AQ12" s="849"/>
      <c r="AR12" s="849"/>
      <c r="AS12" s="849"/>
      <c r="AT12" s="849"/>
      <c r="AU12" s="849"/>
      <c r="AV12" s="849"/>
      <c r="AW12" s="849"/>
      <c r="AX12" s="849"/>
      <c r="AY12" s="849"/>
      <c r="AZ12" s="849"/>
      <c r="BA12" s="849"/>
      <c r="BB12" s="849"/>
      <c r="BC12" s="849"/>
      <c r="BD12" s="849"/>
      <c r="BE12" s="849"/>
      <c r="BF12" s="849"/>
      <c r="BG12" s="849"/>
      <c r="BH12" s="849"/>
      <c r="BI12" s="849"/>
      <c r="BJ12" s="849"/>
      <c r="BK12" s="849"/>
      <c r="BL12" s="849"/>
      <c r="BM12" s="849"/>
      <c r="BN12" s="849"/>
      <c r="BO12" s="849"/>
      <c r="BP12" s="849"/>
      <c r="BQ12" s="849"/>
      <c r="BR12" s="849"/>
      <c r="BS12" s="849"/>
      <c r="BT12" s="849"/>
    </row>
    <row r="13" spans="1:72" ht="15" customHeight="1">
      <c r="A13" s="170" t="str">
        <f>'2.Cost Allocation'!A13</f>
        <v>Bypass</v>
      </c>
      <c r="B13" s="202"/>
      <c r="C13" s="86"/>
      <c r="D13" s="191"/>
      <c r="E13" s="202"/>
      <c r="F13" s="92"/>
      <c r="G13" s="191"/>
      <c r="H13" s="202"/>
      <c r="I13" s="92"/>
      <c r="J13" s="191"/>
      <c r="K13" s="202"/>
      <c r="L13" s="92"/>
      <c r="M13" s="191"/>
      <c r="N13" s="202"/>
      <c r="O13" s="92"/>
      <c r="P13" s="191"/>
      <c r="Q13" s="202"/>
      <c r="R13" s="92"/>
      <c r="S13" s="191"/>
      <c r="T13" s="154"/>
      <c r="U13" s="19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</row>
    <row r="14" spans="1:72" s="850" customFormat="1" ht="15" customHeight="1">
      <c r="A14" s="837" t="str">
        <f>'2.Cost Allocation'!A14</f>
        <v>Bypass and Smithton Junction: 2.1km dual </v>
      </c>
      <c r="B14" s="838">
        <f>'2.Cost Allocation'!$B$14</f>
        <v>4105200</v>
      </c>
      <c r="C14" s="839">
        <v>3078900</v>
      </c>
      <c r="D14" s="836">
        <f>B14-C14</f>
        <v>1026300</v>
      </c>
      <c r="E14" s="840">
        <f>'2.Cost Allocation'!$C$14</f>
        <v>8357800</v>
      </c>
      <c r="F14" s="841">
        <v>0</v>
      </c>
      <c r="G14" s="842">
        <f>E14-F14</f>
        <v>8357800</v>
      </c>
      <c r="H14" s="843">
        <v>0</v>
      </c>
      <c r="I14" s="844">
        <v>0</v>
      </c>
      <c r="J14" s="845">
        <v>0</v>
      </c>
      <c r="K14" s="843">
        <v>0</v>
      </c>
      <c r="L14" s="844">
        <v>0</v>
      </c>
      <c r="M14" s="845">
        <v>0</v>
      </c>
      <c r="N14" s="843">
        <v>0</v>
      </c>
      <c r="O14" s="844">
        <v>0</v>
      </c>
      <c r="P14" s="845">
        <v>0</v>
      </c>
      <c r="Q14" s="843">
        <v>0</v>
      </c>
      <c r="R14" s="844">
        <v>0</v>
      </c>
      <c r="S14" s="845">
        <v>0</v>
      </c>
      <c r="T14" s="846">
        <v>0</v>
      </c>
      <c r="U14" s="847" t="s">
        <v>280</v>
      </c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848"/>
      <c r="AI14" s="848"/>
      <c r="AJ14" s="848"/>
      <c r="AK14" s="848"/>
      <c r="AL14" s="848"/>
      <c r="AM14" s="848"/>
      <c r="AN14" s="848"/>
      <c r="AO14" s="848"/>
      <c r="AP14" s="848"/>
      <c r="AQ14" s="849"/>
      <c r="AR14" s="849"/>
      <c r="AS14" s="849"/>
      <c r="AT14" s="849"/>
      <c r="AU14" s="849"/>
      <c r="AV14" s="849"/>
      <c r="AW14" s="849"/>
      <c r="AX14" s="849"/>
      <c r="AY14" s="849"/>
      <c r="AZ14" s="849"/>
      <c r="BA14" s="849"/>
      <c r="BB14" s="849"/>
      <c r="BC14" s="849"/>
      <c r="BD14" s="849"/>
      <c r="BE14" s="849"/>
      <c r="BF14" s="849"/>
      <c r="BG14" s="849"/>
      <c r="BH14" s="849"/>
      <c r="BI14" s="849"/>
      <c r="BJ14" s="849"/>
      <c r="BK14" s="849"/>
      <c r="BL14" s="849"/>
      <c r="BM14" s="849"/>
      <c r="BN14" s="849"/>
      <c r="BO14" s="849"/>
      <c r="BP14" s="849"/>
      <c r="BQ14" s="849"/>
      <c r="BR14" s="849"/>
      <c r="BS14" s="849"/>
      <c r="BT14" s="849"/>
    </row>
    <row r="15" spans="1:72" s="850" customFormat="1" ht="15" customHeight="1">
      <c r="A15" s="837" t="str">
        <f>'2.Cost Allocation'!A15</f>
        <v>Inshes gyratory</v>
      </c>
      <c r="B15" s="840">
        <f>'2.Cost Allocation'!$B$15</f>
        <v>2200000</v>
      </c>
      <c r="C15" s="839">
        <v>1650000</v>
      </c>
      <c r="D15" s="836">
        <f>B15-C15</f>
        <v>550000</v>
      </c>
      <c r="E15" s="838">
        <f>'2.Cost Allocation'!$C$15</f>
        <v>1650000</v>
      </c>
      <c r="F15" s="851">
        <v>0</v>
      </c>
      <c r="G15" s="842">
        <f>E15-F15</f>
        <v>1650000</v>
      </c>
      <c r="H15" s="843">
        <v>0</v>
      </c>
      <c r="I15" s="844">
        <v>0</v>
      </c>
      <c r="J15" s="845">
        <v>0</v>
      </c>
      <c r="K15" s="843">
        <v>0</v>
      </c>
      <c r="L15" s="844">
        <v>0</v>
      </c>
      <c r="M15" s="845">
        <v>0</v>
      </c>
      <c r="N15" s="843">
        <v>0</v>
      </c>
      <c r="O15" s="844">
        <v>0</v>
      </c>
      <c r="P15" s="845">
        <v>0</v>
      </c>
      <c r="Q15" s="843">
        <v>0</v>
      </c>
      <c r="R15" s="844">
        <v>0</v>
      </c>
      <c r="S15" s="845">
        <v>0</v>
      </c>
      <c r="T15" s="846">
        <v>0</v>
      </c>
      <c r="U15" s="847" t="s">
        <v>280</v>
      </c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8"/>
      <c r="AJ15" s="848"/>
      <c r="AK15" s="848"/>
      <c r="AL15" s="848"/>
      <c r="AM15" s="848"/>
      <c r="AN15" s="848"/>
      <c r="AO15" s="848"/>
      <c r="AP15" s="848"/>
      <c r="AQ15" s="849"/>
      <c r="AR15" s="849"/>
      <c r="AS15" s="849"/>
      <c r="AT15" s="849"/>
      <c r="AU15" s="849"/>
      <c r="AV15" s="849"/>
      <c r="AW15" s="849"/>
      <c r="AX15" s="849"/>
      <c r="AY15" s="849"/>
      <c r="AZ15" s="849"/>
      <c r="BA15" s="849"/>
      <c r="BB15" s="849"/>
      <c r="BC15" s="849"/>
      <c r="BD15" s="849"/>
      <c r="BE15" s="849"/>
      <c r="BF15" s="849"/>
      <c r="BG15" s="849"/>
      <c r="BH15" s="849"/>
      <c r="BI15" s="849"/>
      <c r="BJ15" s="849"/>
      <c r="BK15" s="849"/>
      <c r="BL15" s="849"/>
      <c r="BM15" s="849"/>
      <c r="BN15" s="849"/>
      <c r="BO15" s="849"/>
      <c r="BP15" s="849"/>
      <c r="BQ15" s="849"/>
      <c r="BR15" s="849"/>
      <c r="BS15" s="849"/>
      <c r="BT15" s="849"/>
    </row>
    <row r="16" spans="1:72" s="850" customFormat="1" ht="15" customHeight="1">
      <c r="A16" s="837" t="s">
        <v>320</v>
      </c>
      <c r="B16" s="840"/>
      <c r="C16" s="839"/>
      <c r="D16" s="836"/>
      <c r="E16" s="852">
        <f>'2.Cost Allocation'!$C$16</f>
        <v>2200000</v>
      </c>
      <c r="F16" s="853">
        <v>0</v>
      </c>
      <c r="G16" s="842">
        <f>E16-F16</f>
        <v>2200000</v>
      </c>
      <c r="H16" s="843">
        <v>0</v>
      </c>
      <c r="I16" s="844">
        <v>0</v>
      </c>
      <c r="J16" s="845">
        <v>0</v>
      </c>
      <c r="K16" s="843">
        <v>0</v>
      </c>
      <c r="L16" s="844">
        <v>0</v>
      </c>
      <c r="M16" s="845">
        <v>0</v>
      </c>
      <c r="N16" s="843">
        <v>0</v>
      </c>
      <c r="O16" s="844">
        <v>0</v>
      </c>
      <c r="P16" s="845">
        <v>0</v>
      </c>
      <c r="Q16" s="843">
        <v>0</v>
      </c>
      <c r="R16" s="844">
        <v>0</v>
      </c>
      <c r="S16" s="845">
        <v>0</v>
      </c>
      <c r="T16" s="846">
        <v>0</v>
      </c>
      <c r="U16" s="847"/>
      <c r="V16" s="848"/>
      <c r="W16" s="848"/>
      <c r="X16" s="848"/>
      <c r="Y16" s="848"/>
      <c r="Z16" s="848"/>
      <c r="AA16" s="848"/>
      <c r="AB16" s="848"/>
      <c r="AC16" s="848"/>
      <c r="AD16" s="848"/>
      <c r="AE16" s="848"/>
      <c r="AF16" s="848"/>
      <c r="AG16" s="848"/>
      <c r="AH16" s="848"/>
      <c r="AI16" s="848"/>
      <c r="AJ16" s="848"/>
      <c r="AK16" s="848"/>
      <c r="AL16" s="848"/>
      <c r="AM16" s="848"/>
      <c r="AN16" s="848"/>
      <c r="AO16" s="848"/>
      <c r="AP16" s="848"/>
      <c r="AQ16" s="849"/>
      <c r="AR16" s="849"/>
      <c r="AS16" s="849"/>
      <c r="AT16" s="849"/>
      <c r="AU16" s="849"/>
      <c r="AV16" s="849"/>
      <c r="AW16" s="849"/>
      <c r="AX16" s="849"/>
      <c r="AY16" s="849"/>
      <c r="AZ16" s="849"/>
      <c r="BA16" s="849"/>
      <c r="BB16" s="849"/>
      <c r="BC16" s="849"/>
      <c r="BD16" s="849"/>
      <c r="BE16" s="849"/>
      <c r="BF16" s="849"/>
      <c r="BG16" s="849"/>
      <c r="BH16" s="849"/>
      <c r="BI16" s="849"/>
      <c r="BJ16" s="849"/>
      <c r="BK16" s="849"/>
      <c r="BL16" s="849"/>
      <c r="BM16" s="849"/>
      <c r="BN16" s="849"/>
      <c r="BO16" s="849"/>
      <c r="BP16" s="849"/>
      <c r="BQ16" s="849"/>
      <c r="BR16" s="849"/>
      <c r="BS16" s="849"/>
      <c r="BT16" s="849"/>
    </row>
    <row r="17" spans="1:72" ht="15" customHeight="1">
      <c r="A17" s="170" t="str">
        <f>'2.Cost Allocation'!A17</f>
        <v>New Pedestrian / Cycle Routes</v>
      </c>
      <c r="B17" s="202"/>
      <c r="C17" s="86"/>
      <c r="D17" s="191"/>
      <c r="E17" s="671"/>
      <c r="F17" s="672"/>
      <c r="G17" s="104"/>
      <c r="H17" s="202"/>
      <c r="I17" s="92"/>
      <c r="J17" s="191"/>
      <c r="K17" s="202"/>
      <c r="L17" s="92"/>
      <c r="M17" s="191"/>
      <c r="N17" s="202"/>
      <c r="O17" s="92"/>
      <c r="P17" s="191"/>
      <c r="Q17" s="202"/>
      <c r="R17" s="92"/>
      <c r="S17" s="191"/>
      <c r="T17" s="154"/>
      <c r="U17" s="19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1:72" s="850" customFormat="1" ht="15" customHeight="1">
      <c r="A18" s="837" t="str">
        <f>'2.Cost Allocation'!A18</f>
        <v>Green Bridges: 4 Nr</v>
      </c>
      <c r="B18" s="843" t="s">
        <v>247</v>
      </c>
      <c r="C18" s="855" t="s">
        <v>247</v>
      </c>
      <c r="D18" s="845" t="s">
        <v>247</v>
      </c>
      <c r="E18" s="838">
        <f>'2.Cost Allocation'!$C$18</f>
        <v>550000</v>
      </c>
      <c r="F18" s="851">
        <v>0</v>
      </c>
      <c r="G18" s="842">
        <f>E18-F18</f>
        <v>550000</v>
      </c>
      <c r="H18" s="843" t="s">
        <v>247</v>
      </c>
      <c r="I18" s="844" t="s">
        <v>247</v>
      </c>
      <c r="J18" s="845" t="s">
        <v>247</v>
      </c>
      <c r="K18" s="843" t="s">
        <v>247</v>
      </c>
      <c r="L18" s="844" t="s">
        <v>247</v>
      </c>
      <c r="M18" s="845" t="s">
        <v>247</v>
      </c>
      <c r="N18" s="843" t="s">
        <v>247</v>
      </c>
      <c r="O18" s="844" t="s">
        <v>247</v>
      </c>
      <c r="P18" s="845" t="s">
        <v>247</v>
      </c>
      <c r="Q18" s="843" t="s">
        <v>247</v>
      </c>
      <c r="R18" s="844" t="s">
        <v>247</v>
      </c>
      <c r="S18" s="845" t="s">
        <v>247</v>
      </c>
      <c r="T18" s="846"/>
      <c r="U18" s="1075"/>
      <c r="V18" s="848"/>
      <c r="W18" s="848"/>
      <c r="X18" s="848"/>
      <c r="Y18" s="848"/>
      <c r="Z18" s="848"/>
      <c r="AA18" s="848"/>
      <c r="AB18" s="848"/>
      <c r="AC18" s="848"/>
      <c r="AD18" s="848"/>
      <c r="AE18" s="848"/>
      <c r="AF18" s="848"/>
      <c r="AG18" s="848"/>
      <c r="AH18" s="848"/>
      <c r="AI18" s="848"/>
      <c r="AJ18" s="848"/>
      <c r="AK18" s="848"/>
      <c r="AL18" s="848"/>
      <c r="AM18" s="848"/>
      <c r="AN18" s="848"/>
      <c r="AO18" s="848"/>
      <c r="AP18" s="848"/>
      <c r="AQ18" s="849"/>
      <c r="AR18" s="849"/>
      <c r="AS18" s="849"/>
      <c r="AT18" s="849"/>
      <c r="AU18" s="849"/>
      <c r="AV18" s="849"/>
      <c r="AW18" s="849"/>
      <c r="AX18" s="849"/>
      <c r="AY18" s="849"/>
      <c r="AZ18" s="849"/>
      <c r="BA18" s="849"/>
      <c r="BB18" s="849"/>
      <c r="BC18" s="849"/>
      <c r="BD18" s="849"/>
      <c r="BE18" s="849"/>
      <c r="BF18" s="849"/>
      <c r="BG18" s="849"/>
      <c r="BH18" s="849"/>
      <c r="BI18" s="849"/>
      <c r="BJ18" s="849"/>
      <c r="BK18" s="849"/>
      <c r="BL18" s="849"/>
      <c r="BM18" s="849"/>
      <c r="BN18" s="849"/>
      <c r="BO18" s="849"/>
      <c r="BP18" s="849"/>
      <c r="BQ18" s="849"/>
      <c r="BR18" s="849"/>
      <c r="BS18" s="849"/>
      <c r="BT18" s="849"/>
    </row>
    <row r="19" spans="1:72" ht="15" customHeight="1">
      <c r="A19" s="170" t="str">
        <f>'2.Cost Allocation'!A19</f>
        <v>Structural Landscaping</v>
      </c>
      <c r="B19" s="202"/>
      <c r="C19" s="86"/>
      <c r="D19" s="191"/>
      <c r="E19" s="467"/>
      <c r="F19" s="92"/>
      <c r="G19" s="191"/>
      <c r="H19" s="202"/>
      <c r="I19" s="92"/>
      <c r="J19" s="191"/>
      <c r="K19" s="202"/>
      <c r="L19" s="92"/>
      <c r="M19" s="191"/>
      <c r="N19" s="202"/>
      <c r="O19" s="92"/>
      <c r="P19" s="191"/>
      <c r="Q19" s="202"/>
      <c r="R19" s="92"/>
      <c r="S19" s="191"/>
      <c r="T19" s="154"/>
      <c r="U19" s="19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</row>
    <row r="20" spans="1:72" s="850" customFormat="1" ht="15" customHeight="1">
      <c r="A20" s="837" t="str">
        <f>'2.Cost Allocation'!A20</f>
        <v>20 hectares</v>
      </c>
      <c r="B20" s="843" t="s">
        <v>247</v>
      </c>
      <c r="C20" s="855" t="s">
        <v>247</v>
      </c>
      <c r="D20" s="845" t="s">
        <v>247</v>
      </c>
      <c r="E20" s="838">
        <f>'2.Cost Allocation'!$C$20</f>
        <v>1100000</v>
      </c>
      <c r="F20" s="851">
        <v>0</v>
      </c>
      <c r="G20" s="842">
        <f>E20-F20</f>
        <v>1100000</v>
      </c>
      <c r="H20" s="843" t="s">
        <v>247</v>
      </c>
      <c r="I20" s="844" t="s">
        <v>247</v>
      </c>
      <c r="J20" s="845" t="s">
        <v>247</v>
      </c>
      <c r="K20" s="843" t="s">
        <v>247</v>
      </c>
      <c r="L20" s="844" t="s">
        <v>247</v>
      </c>
      <c r="M20" s="845" t="s">
        <v>247</v>
      </c>
      <c r="N20" s="843" t="s">
        <v>247</v>
      </c>
      <c r="O20" s="844" t="s">
        <v>247</v>
      </c>
      <c r="P20" s="845" t="s">
        <v>247</v>
      </c>
      <c r="Q20" s="843" t="s">
        <v>247</v>
      </c>
      <c r="R20" s="844" t="s">
        <v>247</v>
      </c>
      <c r="S20" s="845" t="s">
        <v>247</v>
      </c>
      <c r="T20" s="846"/>
      <c r="U20" s="1075"/>
      <c r="V20" s="848"/>
      <c r="W20" s="848"/>
      <c r="X20" s="848"/>
      <c r="Y20" s="848"/>
      <c r="Z20" s="848"/>
      <c r="AA20" s="848"/>
      <c r="AB20" s="848"/>
      <c r="AC20" s="848"/>
      <c r="AD20" s="848"/>
      <c r="AE20" s="848"/>
      <c r="AF20" s="848"/>
      <c r="AG20" s="848"/>
      <c r="AH20" s="848"/>
      <c r="AI20" s="848"/>
      <c r="AJ20" s="848"/>
      <c r="AK20" s="848"/>
      <c r="AL20" s="848"/>
      <c r="AM20" s="848"/>
      <c r="AN20" s="848"/>
      <c r="AO20" s="848"/>
      <c r="AP20" s="848"/>
      <c r="AQ20" s="849"/>
      <c r="AR20" s="849"/>
      <c r="AS20" s="849"/>
      <c r="AT20" s="849"/>
      <c r="AU20" s="849"/>
      <c r="AV20" s="849"/>
      <c r="AW20" s="849"/>
      <c r="AX20" s="849"/>
      <c r="AY20" s="849"/>
      <c r="AZ20" s="849"/>
      <c r="BA20" s="849"/>
      <c r="BB20" s="849"/>
      <c r="BC20" s="849"/>
      <c r="BD20" s="849"/>
      <c r="BE20" s="849"/>
      <c r="BF20" s="849"/>
      <c r="BG20" s="849"/>
      <c r="BH20" s="849"/>
      <c r="BI20" s="849"/>
      <c r="BJ20" s="849"/>
      <c r="BK20" s="849"/>
      <c r="BL20" s="849"/>
      <c r="BM20" s="849"/>
      <c r="BN20" s="849"/>
      <c r="BO20" s="849"/>
      <c r="BP20" s="849"/>
      <c r="BQ20" s="849"/>
      <c r="BR20" s="849"/>
      <c r="BS20" s="849"/>
      <c r="BT20" s="849"/>
    </row>
    <row r="21" spans="1:72" ht="15" customHeight="1">
      <c r="A21" s="170" t="str">
        <f>'2.Cost Allocation'!A21</f>
        <v>Regional Sports Complex</v>
      </c>
      <c r="B21" s="202"/>
      <c r="C21" s="86"/>
      <c r="D21" s="191"/>
      <c r="E21" s="202"/>
      <c r="F21" s="92"/>
      <c r="G21" s="191"/>
      <c r="H21" s="202"/>
      <c r="I21" s="92"/>
      <c r="J21" s="191"/>
      <c r="K21" s="202"/>
      <c r="L21" s="92"/>
      <c r="M21" s="191"/>
      <c r="N21" s="202"/>
      <c r="O21" s="92"/>
      <c r="P21" s="191"/>
      <c r="Q21" s="202"/>
      <c r="R21" s="92"/>
      <c r="S21" s="191"/>
      <c r="T21" s="154"/>
      <c r="U21" s="19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</row>
    <row r="22" spans="1:72" ht="15" customHeight="1">
      <c r="A22" s="169" t="str">
        <f>'2.Cost Allocation'!A22</f>
        <v>Playing Fields: 40 hectares</v>
      </c>
      <c r="B22" s="377">
        <v>0</v>
      </c>
      <c r="C22" s="80">
        <v>0</v>
      </c>
      <c r="D22" s="402">
        <f>B22-C22</f>
        <v>0</v>
      </c>
      <c r="E22" s="127" t="s">
        <v>247</v>
      </c>
      <c r="F22" s="128" t="s">
        <v>247</v>
      </c>
      <c r="G22" s="192" t="s">
        <v>247</v>
      </c>
      <c r="H22" s="127" t="s">
        <v>247</v>
      </c>
      <c r="I22" s="128" t="s">
        <v>247</v>
      </c>
      <c r="J22" s="192" t="s">
        <v>247</v>
      </c>
      <c r="K22" s="127" t="s">
        <v>247</v>
      </c>
      <c r="L22" s="128" t="s">
        <v>247</v>
      </c>
      <c r="M22" s="192" t="s">
        <v>247</v>
      </c>
      <c r="N22" s="127" t="s">
        <v>247</v>
      </c>
      <c r="O22" s="128" t="s">
        <v>247</v>
      </c>
      <c r="P22" s="192" t="s">
        <v>247</v>
      </c>
      <c r="Q22" s="127" t="s">
        <v>247</v>
      </c>
      <c r="R22" s="128" t="s">
        <v>247</v>
      </c>
      <c r="S22" s="192" t="s">
        <v>247</v>
      </c>
      <c r="T22" s="120"/>
      <c r="U22" s="194" t="s">
        <v>393</v>
      </c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1:72" ht="15" customHeight="1">
      <c r="A23" s="169" t="str">
        <f>'2.Cost Allocation'!A23</f>
        <v>Sports Pavilion: 3,000m2</v>
      </c>
      <c r="B23" s="377">
        <v>0</v>
      </c>
      <c r="C23" s="80">
        <v>0</v>
      </c>
      <c r="D23" s="402">
        <f>B23-C23</f>
        <v>0</v>
      </c>
      <c r="E23" s="127" t="s">
        <v>247</v>
      </c>
      <c r="F23" s="128" t="s">
        <v>247</v>
      </c>
      <c r="G23" s="192" t="s">
        <v>247</v>
      </c>
      <c r="H23" s="127" t="s">
        <v>247</v>
      </c>
      <c r="I23" s="128" t="s">
        <v>247</v>
      </c>
      <c r="J23" s="192" t="s">
        <v>247</v>
      </c>
      <c r="K23" s="127" t="s">
        <v>247</v>
      </c>
      <c r="L23" s="128" t="s">
        <v>247</v>
      </c>
      <c r="M23" s="192" t="s">
        <v>247</v>
      </c>
      <c r="N23" s="127" t="s">
        <v>247</v>
      </c>
      <c r="O23" s="128" t="s">
        <v>247</v>
      </c>
      <c r="P23" s="192" t="s">
        <v>247</v>
      </c>
      <c r="Q23" s="127" t="s">
        <v>247</v>
      </c>
      <c r="R23" s="128" t="s">
        <v>247</v>
      </c>
      <c r="S23" s="192" t="s">
        <v>247</v>
      </c>
      <c r="T23" s="120"/>
      <c r="U23" s="194" t="s">
        <v>393</v>
      </c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ht="15" customHeight="1">
      <c r="A24" s="170" t="str">
        <f>'2.Cost Allocation'!A24</f>
        <v>Public Transport Interchange</v>
      </c>
      <c r="B24" s="202"/>
      <c r="C24" s="86"/>
      <c r="D24" s="191"/>
      <c r="E24" s="202"/>
      <c r="F24" s="92"/>
      <c r="G24" s="191"/>
      <c r="H24" s="202"/>
      <c r="I24" s="92"/>
      <c r="J24" s="191"/>
      <c r="K24" s="202"/>
      <c r="L24" s="92"/>
      <c r="M24" s="191"/>
      <c r="N24" s="202"/>
      <c r="O24" s="92"/>
      <c r="P24" s="191"/>
      <c r="Q24" s="202"/>
      <c r="R24" s="92"/>
      <c r="S24" s="191"/>
      <c r="T24" s="154"/>
      <c r="U24" s="19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ht="15" customHeight="1">
      <c r="A25" s="169" t="str">
        <f>'2.Cost Allocation'!A25</f>
        <v>Bus Interchange: 1Nr</v>
      </c>
      <c r="B25" s="99">
        <f>'2.Cost Allocation'!$B$25</f>
        <v>2750000</v>
      </c>
      <c r="C25" s="80">
        <v>0</v>
      </c>
      <c r="D25" s="1071">
        <f>B25-C25</f>
        <v>2750000</v>
      </c>
      <c r="E25" s="127" t="s">
        <v>247</v>
      </c>
      <c r="F25" s="128" t="s">
        <v>247</v>
      </c>
      <c r="G25" s="192" t="s">
        <v>247</v>
      </c>
      <c r="H25" s="127" t="s">
        <v>247</v>
      </c>
      <c r="I25" s="128" t="s">
        <v>247</v>
      </c>
      <c r="J25" s="192" t="s">
        <v>247</v>
      </c>
      <c r="K25" s="127" t="s">
        <v>247</v>
      </c>
      <c r="L25" s="128" t="s">
        <v>247</v>
      </c>
      <c r="M25" s="192" t="s">
        <v>247</v>
      </c>
      <c r="N25" s="127" t="s">
        <v>247</v>
      </c>
      <c r="O25" s="128" t="s">
        <v>247</v>
      </c>
      <c r="P25" s="192" t="s">
        <v>247</v>
      </c>
      <c r="Q25" s="127" t="s">
        <v>247</v>
      </c>
      <c r="R25" s="128" t="s">
        <v>247</v>
      </c>
      <c r="S25" s="192" t="s">
        <v>247</v>
      </c>
      <c r="T25" s="120"/>
      <c r="U25" s="194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</row>
    <row r="26" spans="1:72" ht="15" customHeight="1">
      <c r="A26" s="170" t="str">
        <f>'2.Cost Allocation'!A26</f>
        <v>Park &amp; Ride</v>
      </c>
      <c r="B26" s="202"/>
      <c r="C26" s="86"/>
      <c r="D26" s="191"/>
      <c r="E26" s="202"/>
      <c r="F26" s="92"/>
      <c r="G26" s="191"/>
      <c r="H26" s="202"/>
      <c r="I26" s="92"/>
      <c r="J26" s="191"/>
      <c r="K26" s="202"/>
      <c r="L26" s="92"/>
      <c r="M26" s="191"/>
      <c r="N26" s="202"/>
      <c r="O26" s="92"/>
      <c r="P26" s="191"/>
      <c r="Q26" s="202"/>
      <c r="R26" s="92"/>
      <c r="S26" s="191"/>
      <c r="T26" s="154"/>
      <c r="U26" s="19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</row>
    <row r="27" spans="1:72" s="850" customFormat="1" ht="15" customHeight="1" thickBot="1">
      <c r="A27" s="858" t="str">
        <f>'2.Cost Allocation'!A27</f>
        <v>3 hectares; equated to 1, 200 car parking spaces</v>
      </c>
      <c r="B27" s="859">
        <f>'2.Cost Allocation'!$B$27</f>
        <v>3300000</v>
      </c>
      <c r="C27" s="860">
        <v>0</v>
      </c>
      <c r="D27" s="836">
        <f>B27-C27</f>
        <v>3300000</v>
      </c>
      <c r="E27" s="861">
        <v>0</v>
      </c>
      <c r="F27" s="862">
        <v>0</v>
      </c>
      <c r="G27" s="863">
        <v>0</v>
      </c>
      <c r="H27" s="861">
        <v>0</v>
      </c>
      <c r="I27" s="862">
        <v>0</v>
      </c>
      <c r="J27" s="863">
        <v>0</v>
      </c>
      <c r="K27" s="861">
        <v>0</v>
      </c>
      <c r="L27" s="862">
        <v>0</v>
      </c>
      <c r="M27" s="863">
        <v>0</v>
      </c>
      <c r="N27" s="861">
        <v>0</v>
      </c>
      <c r="O27" s="862">
        <v>0</v>
      </c>
      <c r="P27" s="863">
        <v>0</v>
      </c>
      <c r="Q27" s="861">
        <v>0</v>
      </c>
      <c r="R27" s="862">
        <v>0</v>
      </c>
      <c r="S27" s="863">
        <v>0</v>
      </c>
      <c r="T27" s="864"/>
      <c r="U27" s="865"/>
      <c r="V27" s="848"/>
      <c r="W27" s="848"/>
      <c r="X27" s="848"/>
      <c r="Y27" s="848"/>
      <c r="Z27" s="848"/>
      <c r="AA27" s="848"/>
      <c r="AB27" s="848"/>
      <c r="AC27" s="848"/>
      <c r="AD27" s="848"/>
      <c r="AE27" s="848"/>
      <c r="AF27" s="848"/>
      <c r="AG27" s="848"/>
      <c r="AH27" s="848"/>
      <c r="AI27" s="848"/>
      <c r="AJ27" s="848"/>
      <c r="AK27" s="848"/>
      <c r="AL27" s="848"/>
      <c r="AM27" s="848"/>
      <c r="AN27" s="848"/>
      <c r="AO27" s="848"/>
      <c r="AP27" s="848"/>
      <c r="AQ27" s="849"/>
      <c r="AR27" s="849"/>
      <c r="AS27" s="849"/>
      <c r="AT27" s="849"/>
      <c r="AU27" s="849"/>
      <c r="AV27" s="849"/>
      <c r="AW27" s="849"/>
      <c r="AX27" s="849"/>
      <c r="AY27" s="849"/>
      <c r="AZ27" s="849"/>
      <c r="BA27" s="849"/>
      <c r="BB27" s="849"/>
      <c r="BC27" s="849"/>
      <c r="BD27" s="849"/>
      <c r="BE27" s="849"/>
      <c r="BF27" s="849"/>
      <c r="BG27" s="849"/>
      <c r="BH27" s="849"/>
      <c r="BI27" s="849"/>
      <c r="BJ27" s="849"/>
      <c r="BK27" s="849"/>
      <c r="BL27" s="849"/>
      <c r="BM27" s="849"/>
      <c r="BN27" s="849"/>
      <c r="BO27" s="849"/>
      <c r="BP27" s="849"/>
      <c r="BQ27" s="849"/>
      <c r="BR27" s="849"/>
      <c r="BS27" s="849"/>
      <c r="BT27" s="849"/>
    </row>
    <row r="28" spans="1:42" s="145" customFormat="1" ht="15" customHeight="1">
      <c r="A28" s="207" t="str">
        <f>'2.Cost Allocation'!A28</f>
        <v>Totals</v>
      </c>
      <c r="B28" s="208">
        <f aca="true" t="shared" si="0" ref="B28:G28">SUM(B8:B27)</f>
        <v>12355200</v>
      </c>
      <c r="C28" s="209">
        <f t="shared" si="0"/>
        <v>4728900</v>
      </c>
      <c r="D28" s="211">
        <f t="shared" si="0"/>
        <v>7626300</v>
      </c>
      <c r="E28" s="208">
        <f t="shared" si="0"/>
        <v>63225800</v>
      </c>
      <c r="F28" s="209">
        <f t="shared" si="0"/>
        <v>8157600</v>
      </c>
      <c r="G28" s="210">
        <f t="shared" si="0"/>
        <v>55068200</v>
      </c>
      <c r="H28" s="208">
        <f aca="true" t="shared" si="1" ref="H28:S28">SUM(H8:H27)</f>
        <v>0</v>
      </c>
      <c r="I28" s="211">
        <f t="shared" si="1"/>
        <v>0</v>
      </c>
      <c r="J28" s="210">
        <f t="shared" si="1"/>
        <v>0</v>
      </c>
      <c r="K28" s="208">
        <f>SUM(K8:K27)</f>
        <v>0</v>
      </c>
      <c r="L28" s="211">
        <f>SUM(L8:L27)</f>
        <v>0</v>
      </c>
      <c r="M28" s="210">
        <f>SUM(M8:M27)</f>
        <v>0</v>
      </c>
      <c r="N28" s="208">
        <f t="shared" si="1"/>
        <v>0</v>
      </c>
      <c r="O28" s="211">
        <f t="shared" si="1"/>
        <v>0</v>
      </c>
      <c r="P28" s="210">
        <f t="shared" si="1"/>
        <v>0</v>
      </c>
      <c r="Q28" s="211">
        <f t="shared" si="1"/>
        <v>0</v>
      </c>
      <c r="R28" s="211">
        <f t="shared" si="1"/>
        <v>0</v>
      </c>
      <c r="S28" s="210">
        <f t="shared" si="1"/>
        <v>0</v>
      </c>
      <c r="T28" s="212">
        <f>B28+E28+H28+K28+N28+Q28</f>
        <v>75581000</v>
      </c>
      <c r="U28" s="213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</row>
    <row r="29" spans="1:72" s="144" customFormat="1" ht="15" customHeight="1" thickBot="1">
      <c r="A29" s="381" t="str">
        <f>'2.Cost Allocation'!A29</f>
        <v>Totals excluding specific contributions allocated</v>
      </c>
      <c r="B29" s="378">
        <f>B28-B22-B23</f>
        <v>12355200</v>
      </c>
      <c r="C29" s="313">
        <f>C28</f>
        <v>4728900</v>
      </c>
      <c r="D29" s="378">
        <f>D28-D22-D23</f>
        <v>7626300</v>
      </c>
      <c r="E29" s="378">
        <f>E28</f>
        <v>63225800</v>
      </c>
      <c r="F29" s="403">
        <f>F28</f>
        <v>8157600</v>
      </c>
      <c r="G29" s="313">
        <f>G28</f>
        <v>55068200</v>
      </c>
      <c r="H29" s="378">
        <f aca="true" t="shared" si="2" ref="H29:S29">H28</f>
        <v>0</v>
      </c>
      <c r="I29" s="313">
        <f t="shared" si="2"/>
        <v>0</v>
      </c>
      <c r="J29" s="404">
        <f t="shared" si="2"/>
        <v>0</v>
      </c>
      <c r="K29" s="378">
        <f t="shared" si="2"/>
        <v>0</v>
      </c>
      <c r="L29" s="313">
        <f t="shared" si="2"/>
        <v>0</v>
      </c>
      <c r="M29" s="404">
        <f t="shared" si="2"/>
        <v>0</v>
      </c>
      <c r="N29" s="378">
        <f t="shared" si="2"/>
        <v>0</v>
      </c>
      <c r="O29" s="313">
        <f t="shared" si="2"/>
        <v>0</v>
      </c>
      <c r="P29" s="404">
        <f t="shared" si="2"/>
        <v>0</v>
      </c>
      <c r="Q29" s="313">
        <f t="shared" si="2"/>
        <v>0</v>
      </c>
      <c r="R29" s="313">
        <f t="shared" si="2"/>
        <v>0</v>
      </c>
      <c r="S29" s="313">
        <f t="shared" si="2"/>
        <v>0</v>
      </c>
      <c r="T29" s="380">
        <f>B29+E29+H29+K29+N29+Q29</f>
        <v>75581000</v>
      </c>
      <c r="U29" s="379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</row>
    <row r="30" spans="1:72" ht="15" customHeight="1" thickBot="1">
      <c r="A30" s="147"/>
      <c r="B30" s="148"/>
      <c r="C30" s="148"/>
      <c r="D30" s="148"/>
      <c r="E30" s="149"/>
      <c r="F30" s="149"/>
      <c r="G30" s="149"/>
      <c r="H30" s="149"/>
      <c r="I30" s="149"/>
      <c r="J30" s="149"/>
      <c r="K30" s="152"/>
      <c r="L30" s="152"/>
      <c r="M30" s="152"/>
      <c r="N30" s="150"/>
      <c r="O30" s="150"/>
      <c r="P30" s="150"/>
      <c r="Q30" s="151"/>
      <c r="R30" s="151"/>
      <c r="S30" s="151"/>
      <c r="T30" s="151"/>
      <c r="U30" s="153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</row>
    <row r="31" spans="1:72" ht="15" customHeight="1" thickBot="1">
      <c r="A31" s="373" t="str">
        <f>'2.Cost Allocation'!A31</f>
        <v>NAIRN FRAMEWORK PLAN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7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</row>
    <row r="32" spans="1:72" ht="15" customHeight="1">
      <c r="A32" s="196" t="str">
        <f>'2.Cost Allocation'!A32</f>
        <v>Schools</v>
      </c>
      <c r="B32" s="214"/>
      <c r="C32" s="215"/>
      <c r="D32" s="198"/>
      <c r="E32" s="214"/>
      <c r="F32" s="215"/>
      <c r="G32" s="198"/>
      <c r="H32" s="214"/>
      <c r="I32" s="215"/>
      <c r="J32" s="198"/>
      <c r="K32" s="215"/>
      <c r="L32" s="215"/>
      <c r="M32" s="198"/>
      <c r="N32" s="214"/>
      <c r="O32" s="215"/>
      <c r="P32" s="198"/>
      <c r="Q32" s="215"/>
      <c r="R32" s="215"/>
      <c r="S32" s="198"/>
      <c r="T32" s="216"/>
      <c r="U32" s="216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</row>
    <row r="33" spans="1:72" ht="15" customHeight="1">
      <c r="A33" s="94" t="str">
        <f>'2.Cost Allocation'!A33</f>
        <v>4 Nr 200 Pupil Primary Schools</v>
      </c>
      <c r="B33" s="127" t="s">
        <v>247</v>
      </c>
      <c r="C33" s="128" t="s">
        <v>247</v>
      </c>
      <c r="D33" s="192" t="s">
        <v>247</v>
      </c>
      <c r="E33" s="127" t="s">
        <v>247</v>
      </c>
      <c r="F33" s="128" t="s">
        <v>247</v>
      </c>
      <c r="G33" s="192" t="s">
        <v>247</v>
      </c>
      <c r="H33" s="99">
        <f>'2.Cost Allocation'!$E$33</f>
        <v>22176000</v>
      </c>
      <c r="I33" s="88">
        <f>H33*0.2</f>
        <v>4435200</v>
      </c>
      <c r="J33" s="104">
        <f>H33-I33</f>
        <v>17740800</v>
      </c>
      <c r="K33" s="128" t="s">
        <v>247</v>
      </c>
      <c r="L33" s="128" t="s">
        <v>247</v>
      </c>
      <c r="M33" s="192" t="s">
        <v>247</v>
      </c>
      <c r="N33" s="127" t="s">
        <v>247</v>
      </c>
      <c r="O33" s="128" t="s">
        <v>247</v>
      </c>
      <c r="P33" s="192" t="s">
        <v>247</v>
      </c>
      <c r="Q33" s="128" t="s">
        <v>247</v>
      </c>
      <c r="R33" s="129" t="s">
        <v>247</v>
      </c>
      <c r="S33" s="192" t="s">
        <v>247</v>
      </c>
      <c r="T33" s="122"/>
      <c r="U33" s="123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</row>
    <row r="34" spans="1:72" ht="15">
      <c r="A34" s="94" t="str">
        <f>'2.Cost Allocation'!A34</f>
        <v>1 Nr 800 Pupil Secondary School</v>
      </c>
      <c r="B34" s="127" t="s">
        <v>247</v>
      </c>
      <c r="C34" s="128" t="s">
        <v>247</v>
      </c>
      <c r="D34" s="192" t="s">
        <v>247</v>
      </c>
      <c r="E34" s="127" t="s">
        <v>247</v>
      </c>
      <c r="F34" s="128" t="s">
        <v>247</v>
      </c>
      <c r="G34" s="192" t="s">
        <v>247</v>
      </c>
      <c r="H34" s="99">
        <f>'2.Cost Allocation'!$E$34</f>
        <v>21120000</v>
      </c>
      <c r="I34" s="88">
        <f>H34*0.2</f>
        <v>4224000</v>
      </c>
      <c r="J34" s="104">
        <f>H34-I34</f>
        <v>16896000</v>
      </c>
      <c r="K34" s="128" t="s">
        <v>247</v>
      </c>
      <c r="L34" s="128" t="s">
        <v>247</v>
      </c>
      <c r="M34" s="192" t="s">
        <v>247</v>
      </c>
      <c r="N34" s="127" t="s">
        <v>247</v>
      </c>
      <c r="O34" s="128" t="s">
        <v>247</v>
      </c>
      <c r="P34" s="192" t="s">
        <v>247</v>
      </c>
      <c r="Q34" s="128" t="s">
        <v>247</v>
      </c>
      <c r="R34" s="129" t="s">
        <v>247</v>
      </c>
      <c r="S34" s="192" t="s">
        <v>247</v>
      </c>
      <c r="T34" s="122"/>
      <c r="U34" s="124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</row>
    <row r="35" spans="1:72" ht="15" customHeight="1">
      <c r="A35" s="170" t="str">
        <f>'2.Cost Allocation'!A35</f>
        <v>Green Space</v>
      </c>
      <c r="B35" s="202"/>
      <c r="C35" s="92"/>
      <c r="D35" s="191"/>
      <c r="E35" s="202"/>
      <c r="F35" s="92"/>
      <c r="G35" s="191"/>
      <c r="H35" s="202"/>
      <c r="I35" s="92"/>
      <c r="J35" s="191"/>
      <c r="K35" s="92"/>
      <c r="L35" s="92"/>
      <c r="M35" s="191"/>
      <c r="N35" s="202"/>
      <c r="O35" s="92"/>
      <c r="P35" s="191"/>
      <c r="Q35" s="92"/>
      <c r="R35" s="92"/>
      <c r="S35" s="191"/>
      <c r="T35" s="154"/>
      <c r="U35" s="154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</row>
    <row r="36" spans="1:72" s="850" customFormat="1" ht="15" customHeight="1">
      <c r="A36" s="854" t="str">
        <f>'2.Cost Allocation'!A36</f>
        <v>163 hectares of recreation, playing fields, open park, forest park</v>
      </c>
      <c r="B36" s="838">
        <f>'2.Cost Allocation'!$B$36</f>
        <v>11495000</v>
      </c>
      <c r="C36" s="851">
        <v>0</v>
      </c>
      <c r="D36" s="836">
        <f>B36-C36</f>
        <v>11495000</v>
      </c>
      <c r="E36" s="843" t="s">
        <v>247</v>
      </c>
      <c r="F36" s="844" t="s">
        <v>247</v>
      </c>
      <c r="G36" s="845" t="s">
        <v>247</v>
      </c>
      <c r="H36" s="838">
        <f>'2.Cost Allocation'!$E$36</f>
        <v>6435000</v>
      </c>
      <c r="I36" s="844">
        <v>0</v>
      </c>
      <c r="J36" s="842">
        <f>H36-I36</f>
        <v>6435000</v>
      </c>
      <c r="K36" s="844" t="s">
        <v>247</v>
      </c>
      <c r="L36" s="844" t="s">
        <v>247</v>
      </c>
      <c r="M36" s="845" t="s">
        <v>247</v>
      </c>
      <c r="N36" s="843" t="s">
        <v>247</v>
      </c>
      <c r="O36" s="844" t="s">
        <v>247</v>
      </c>
      <c r="P36" s="845" t="s">
        <v>247</v>
      </c>
      <c r="Q36" s="844" t="s">
        <v>247</v>
      </c>
      <c r="R36" s="855" t="s">
        <v>247</v>
      </c>
      <c r="S36" s="845" t="s">
        <v>247</v>
      </c>
      <c r="T36" s="856"/>
      <c r="U36" s="866"/>
      <c r="V36" s="848"/>
      <c r="W36" s="848"/>
      <c r="X36" s="848"/>
      <c r="Y36" s="848"/>
      <c r="Z36" s="848"/>
      <c r="AA36" s="848"/>
      <c r="AB36" s="848"/>
      <c r="AC36" s="848"/>
      <c r="AD36" s="848"/>
      <c r="AE36" s="848"/>
      <c r="AF36" s="848"/>
      <c r="AG36" s="848"/>
      <c r="AH36" s="848"/>
      <c r="AI36" s="848"/>
      <c r="AJ36" s="848"/>
      <c r="AK36" s="848"/>
      <c r="AL36" s="848"/>
      <c r="AM36" s="848"/>
      <c r="AN36" s="848"/>
      <c r="AO36" s="848"/>
      <c r="AP36" s="848"/>
      <c r="AQ36" s="849"/>
      <c r="AR36" s="849"/>
      <c r="AS36" s="849"/>
      <c r="AT36" s="849"/>
      <c r="AU36" s="849"/>
      <c r="AV36" s="849"/>
      <c r="AW36" s="849"/>
      <c r="AX36" s="849"/>
      <c r="AY36" s="849"/>
      <c r="AZ36" s="849"/>
      <c r="BA36" s="849"/>
      <c r="BB36" s="849"/>
      <c r="BC36" s="849"/>
      <c r="BD36" s="849"/>
      <c r="BE36" s="849"/>
      <c r="BF36" s="849"/>
      <c r="BG36" s="849"/>
      <c r="BH36" s="849"/>
      <c r="BI36" s="849"/>
      <c r="BJ36" s="849"/>
      <c r="BK36" s="849"/>
      <c r="BL36" s="849"/>
      <c r="BM36" s="849"/>
      <c r="BN36" s="849"/>
      <c r="BO36" s="849"/>
      <c r="BP36" s="849"/>
      <c r="BQ36" s="849"/>
      <c r="BR36" s="849"/>
      <c r="BS36" s="849"/>
      <c r="BT36" s="849"/>
    </row>
    <row r="37" spans="1:72" s="850" customFormat="1" ht="15" customHeight="1">
      <c r="A37" s="854" t="str">
        <f>'2.Cost Allocation'!A37</f>
        <v>Visitor centre: 2,000m2</v>
      </c>
      <c r="B37" s="838">
        <f>'2.Cost Allocation'!$B$37</f>
        <v>2475000</v>
      </c>
      <c r="C37" s="851">
        <v>0</v>
      </c>
      <c r="D37" s="836">
        <f>B37-C37</f>
        <v>2475000</v>
      </c>
      <c r="E37" s="843" t="s">
        <v>247</v>
      </c>
      <c r="F37" s="844" t="s">
        <v>247</v>
      </c>
      <c r="G37" s="845" t="s">
        <v>247</v>
      </c>
      <c r="H37" s="843" t="s">
        <v>247</v>
      </c>
      <c r="I37" s="844" t="s">
        <v>247</v>
      </c>
      <c r="J37" s="845" t="s">
        <v>247</v>
      </c>
      <c r="K37" s="844" t="s">
        <v>247</v>
      </c>
      <c r="L37" s="844" t="s">
        <v>247</v>
      </c>
      <c r="M37" s="845" t="s">
        <v>247</v>
      </c>
      <c r="N37" s="843" t="s">
        <v>247</v>
      </c>
      <c r="O37" s="844" t="s">
        <v>247</v>
      </c>
      <c r="P37" s="845" t="s">
        <v>247</v>
      </c>
      <c r="Q37" s="844" t="s">
        <v>247</v>
      </c>
      <c r="R37" s="855" t="s">
        <v>247</v>
      </c>
      <c r="S37" s="845" t="s">
        <v>247</v>
      </c>
      <c r="T37" s="856"/>
      <c r="U37" s="866"/>
      <c r="V37" s="848"/>
      <c r="W37" s="848"/>
      <c r="X37" s="848"/>
      <c r="Y37" s="848"/>
      <c r="Z37" s="848"/>
      <c r="AA37" s="848"/>
      <c r="AB37" s="848"/>
      <c r="AC37" s="848"/>
      <c r="AD37" s="848"/>
      <c r="AE37" s="848"/>
      <c r="AF37" s="848"/>
      <c r="AG37" s="848"/>
      <c r="AH37" s="848"/>
      <c r="AI37" s="848"/>
      <c r="AJ37" s="848"/>
      <c r="AK37" s="848"/>
      <c r="AL37" s="848"/>
      <c r="AM37" s="848"/>
      <c r="AN37" s="848"/>
      <c r="AO37" s="848"/>
      <c r="AP37" s="848"/>
      <c r="AQ37" s="849"/>
      <c r="AR37" s="849"/>
      <c r="AS37" s="849"/>
      <c r="AT37" s="849"/>
      <c r="AU37" s="849"/>
      <c r="AV37" s="849"/>
      <c r="AW37" s="849"/>
      <c r="AX37" s="849"/>
      <c r="AY37" s="849"/>
      <c r="AZ37" s="849"/>
      <c r="BA37" s="849"/>
      <c r="BB37" s="849"/>
      <c r="BC37" s="849"/>
      <c r="BD37" s="849"/>
      <c r="BE37" s="849"/>
      <c r="BF37" s="849"/>
      <c r="BG37" s="849"/>
      <c r="BH37" s="849"/>
      <c r="BI37" s="849"/>
      <c r="BJ37" s="849"/>
      <c r="BK37" s="849"/>
      <c r="BL37" s="849"/>
      <c r="BM37" s="849"/>
      <c r="BN37" s="849"/>
      <c r="BO37" s="849"/>
      <c r="BP37" s="849"/>
      <c r="BQ37" s="849"/>
      <c r="BR37" s="849"/>
      <c r="BS37" s="849"/>
      <c r="BT37" s="849"/>
    </row>
    <row r="38" spans="1:72" ht="15">
      <c r="A38" s="170" t="str">
        <f>'2.Cost Allocation'!A38</f>
        <v>Bypass</v>
      </c>
      <c r="B38" s="202"/>
      <c r="C38" s="92"/>
      <c r="D38" s="191"/>
      <c r="E38" s="202"/>
      <c r="F38" s="92"/>
      <c r="G38" s="191"/>
      <c r="H38" s="202"/>
      <c r="I38" s="92"/>
      <c r="J38" s="191"/>
      <c r="K38" s="92"/>
      <c r="L38" s="92"/>
      <c r="M38" s="191"/>
      <c r="N38" s="202"/>
      <c r="O38" s="92"/>
      <c r="P38" s="191"/>
      <c r="Q38" s="92"/>
      <c r="R38" s="92"/>
      <c r="S38" s="191"/>
      <c r="T38" s="154"/>
      <c r="U38" s="154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72" s="850" customFormat="1" ht="15" customHeight="1">
      <c r="A39" s="854" t="str">
        <f>'2.Cost Allocation'!A39</f>
        <v>Bypass: 7km with 4 junctions</v>
      </c>
      <c r="B39" s="838">
        <f>'2.Cost Allocation'!$B$39</f>
        <v>8184000</v>
      </c>
      <c r="C39" s="851">
        <v>6138000</v>
      </c>
      <c r="D39" s="836">
        <f>B39-C39</f>
        <v>2046000</v>
      </c>
      <c r="E39" s="843">
        <v>0</v>
      </c>
      <c r="F39" s="844">
        <v>0</v>
      </c>
      <c r="G39" s="845">
        <v>0</v>
      </c>
      <c r="H39" s="838">
        <f>'2.Cost Allocation'!$E$39</f>
        <v>12276000</v>
      </c>
      <c r="I39" s="851">
        <v>0</v>
      </c>
      <c r="J39" s="842">
        <f>H39-I39</f>
        <v>12276000</v>
      </c>
      <c r="K39" s="844">
        <v>0</v>
      </c>
      <c r="L39" s="844">
        <v>0</v>
      </c>
      <c r="M39" s="845">
        <v>0</v>
      </c>
      <c r="N39" s="843">
        <v>0</v>
      </c>
      <c r="O39" s="844">
        <v>0</v>
      </c>
      <c r="P39" s="845">
        <v>0</v>
      </c>
      <c r="Q39" s="844">
        <v>0</v>
      </c>
      <c r="R39" s="855">
        <v>0</v>
      </c>
      <c r="S39" s="845">
        <v>0</v>
      </c>
      <c r="T39" s="856">
        <v>0</v>
      </c>
      <c r="U39" s="857" t="s">
        <v>309</v>
      </c>
      <c r="V39" s="848"/>
      <c r="W39" s="848"/>
      <c r="X39" s="848"/>
      <c r="Y39" s="848"/>
      <c r="Z39" s="848"/>
      <c r="AA39" s="848"/>
      <c r="AB39" s="848"/>
      <c r="AC39" s="848"/>
      <c r="AD39" s="848"/>
      <c r="AE39" s="848"/>
      <c r="AF39" s="848"/>
      <c r="AG39" s="848"/>
      <c r="AH39" s="848"/>
      <c r="AI39" s="848"/>
      <c r="AJ39" s="848"/>
      <c r="AK39" s="848"/>
      <c r="AL39" s="848"/>
      <c r="AM39" s="848"/>
      <c r="AN39" s="848"/>
      <c r="AO39" s="848"/>
      <c r="AP39" s="848"/>
      <c r="AQ39" s="849"/>
      <c r="AR39" s="849"/>
      <c r="AS39" s="849"/>
      <c r="AT39" s="849"/>
      <c r="AU39" s="849"/>
      <c r="AV39" s="849"/>
      <c r="AW39" s="849"/>
      <c r="AX39" s="849"/>
      <c r="AY39" s="849"/>
      <c r="AZ39" s="849"/>
      <c r="BA39" s="849"/>
      <c r="BB39" s="849"/>
      <c r="BC39" s="849"/>
      <c r="BD39" s="849"/>
      <c r="BE39" s="849"/>
      <c r="BF39" s="849"/>
      <c r="BG39" s="849"/>
      <c r="BH39" s="849"/>
      <c r="BI39" s="849"/>
      <c r="BJ39" s="849"/>
      <c r="BK39" s="849"/>
      <c r="BL39" s="849"/>
      <c r="BM39" s="849"/>
      <c r="BN39" s="849"/>
      <c r="BO39" s="849"/>
      <c r="BP39" s="849"/>
      <c r="BQ39" s="849"/>
      <c r="BR39" s="849"/>
      <c r="BS39" s="849"/>
      <c r="BT39" s="849"/>
    </row>
    <row r="40" spans="1:72" ht="15.75" customHeight="1">
      <c r="A40" s="170" t="str">
        <f>'2.Cost Allocation'!A40</f>
        <v>New Pedestrian / Cycle Routes</v>
      </c>
      <c r="B40" s="202"/>
      <c r="C40" s="92"/>
      <c r="D40" s="191"/>
      <c r="E40" s="202"/>
      <c r="F40" s="92"/>
      <c r="G40" s="191"/>
      <c r="H40" s="202"/>
      <c r="I40" s="92"/>
      <c r="J40" s="191"/>
      <c r="K40" s="92"/>
      <c r="L40" s="92"/>
      <c r="M40" s="191"/>
      <c r="N40" s="202"/>
      <c r="O40" s="92"/>
      <c r="P40" s="191"/>
      <c r="Q40" s="92"/>
      <c r="R40" s="92"/>
      <c r="S40" s="191"/>
      <c r="T40" s="154"/>
      <c r="U40" s="154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</row>
    <row r="41" spans="1:72" s="850" customFormat="1" ht="15" customHeight="1">
      <c r="A41" s="854" t="str">
        <f>'2.Cost Allocation'!A41</f>
        <v>Green Bridges: 1 Nr</v>
      </c>
      <c r="B41" s="843" t="s">
        <v>247</v>
      </c>
      <c r="C41" s="844" t="s">
        <v>247</v>
      </c>
      <c r="D41" s="845" t="s">
        <v>247</v>
      </c>
      <c r="E41" s="843" t="s">
        <v>247</v>
      </c>
      <c r="F41" s="844" t="s">
        <v>247</v>
      </c>
      <c r="G41" s="845" t="s">
        <v>247</v>
      </c>
      <c r="H41" s="838">
        <f>'2.Cost Allocation'!$E$41</f>
        <v>550000</v>
      </c>
      <c r="I41" s="851">
        <v>0</v>
      </c>
      <c r="J41" s="842">
        <f>H41-I41</f>
        <v>550000</v>
      </c>
      <c r="K41" s="844" t="s">
        <v>247</v>
      </c>
      <c r="L41" s="844" t="s">
        <v>247</v>
      </c>
      <c r="M41" s="845" t="s">
        <v>247</v>
      </c>
      <c r="N41" s="843" t="s">
        <v>247</v>
      </c>
      <c r="O41" s="844" t="s">
        <v>247</v>
      </c>
      <c r="P41" s="845" t="s">
        <v>247</v>
      </c>
      <c r="Q41" s="844" t="s">
        <v>247</v>
      </c>
      <c r="R41" s="855" t="s">
        <v>247</v>
      </c>
      <c r="S41" s="845" t="s">
        <v>247</v>
      </c>
      <c r="T41" s="856"/>
      <c r="U41" s="866"/>
      <c r="V41" s="848"/>
      <c r="W41" s="848"/>
      <c r="X41" s="848"/>
      <c r="Y41" s="848"/>
      <c r="Z41" s="848"/>
      <c r="AA41" s="848"/>
      <c r="AB41" s="848"/>
      <c r="AC41" s="848"/>
      <c r="AD41" s="848"/>
      <c r="AE41" s="848"/>
      <c r="AF41" s="848"/>
      <c r="AG41" s="848"/>
      <c r="AH41" s="848"/>
      <c r="AI41" s="848"/>
      <c r="AJ41" s="848"/>
      <c r="AK41" s="848"/>
      <c r="AL41" s="848"/>
      <c r="AM41" s="848"/>
      <c r="AN41" s="848"/>
      <c r="AO41" s="848"/>
      <c r="AP41" s="848"/>
      <c r="AQ41" s="849"/>
      <c r="AR41" s="849"/>
      <c r="AS41" s="849"/>
      <c r="AT41" s="849"/>
      <c r="AU41" s="849"/>
      <c r="AV41" s="849"/>
      <c r="AW41" s="849"/>
      <c r="AX41" s="849"/>
      <c r="AY41" s="849"/>
      <c r="AZ41" s="849"/>
      <c r="BA41" s="849"/>
      <c r="BB41" s="849"/>
      <c r="BC41" s="849"/>
      <c r="BD41" s="849"/>
      <c r="BE41" s="849"/>
      <c r="BF41" s="849"/>
      <c r="BG41" s="849"/>
      <c r="BH41" s="849"/>
      <c r="BI41" s="849"/>
      <c r="BJ41" s="849"/>
      <c r="BK41" s="849"/>
      <c r="BL41" s="849"/>
      <c r="BM41" s="849"/>
      <c r="BN41" s="849"/>
      <c r="BO41" s="849"/>
      <c r="BP41" s="849"/>
      <c r="BQ41" s="849"/>
      <c r="BR41" s="849"/>
      <c r="BS41" s="849"/>
      <c r="BT41" s="849"/>
    </row>
    <row r="42" spans="1:72" s="850" customFormat="1" ht="15" customHeight="1">
      <c r="A42" s="854" t="str">
        <f>'2.Cost Allocation'!A42</f>
        <v>Bridges: 3 Nr </v>
      </c>
      <c r="B42" s="843" t="s">
        <v>247</v>
      </c>
      <c r="C42" s="844" t="s">
        <v>247</v>
      </c>
      <c r="D42" s="845" t="s">
        <v>247</v>
      </c>
      <c r="E42" s="843" t="s">
        <v>247</v>
      </c>
      <c r="F42" s="844" t="s">
        <v>247</v>
      </c>
      <c r="G42" s="845" t="s">
        <v>247</v>
      </c>
      <c r="H42" s="838">
        <f>'2.Cost Allocation'!$E$42</f>
        <v>1650000</v>
      </c>
      <c r="I42" s="851">
        <v>0</v>
      </c>
      <c r="J42" s="842">
        <f>H42-I42</f>
        <v>1650000</v>
      </c>
      <c r="K42" s="844" t="s">
        <v>247</v>
      </c>
      <c r="L42" s="844" t="s">
        <v>247</v>
      </c>
      <c r="M42" s="845" t="s">
        <v>247</v>
      </c>
      <c r="N42" s="843" t="s">
        <v>247</v>
      </c>
      <c r="O42" s="844" t="s">
        <v>247</v>
      </c>
      <c r="P42" s="845" t="s">
        <v>247</v>
      </c>
      <c r="Q42" s="844" t="s">
        <v>247</v>
      </c>
      <c r="R42" s="855" t="s">
        <v>247</v>
      </c>
      <c r="S42" s="845" t="s">
        <v>247</v>
      </c>
      <c r="T42" s="856"/>
      <c r="U42" s="866"/>
      <c r="V42" s="848"/>
      <c r="W42" s="848"/>
      <c r="X42" s="848"/>
      <c r="Y42" s="848"/>
      <c r="Z42" s="848"/>
      <c r="AA42" s="848"/>
      <c r="AB42" s="848"/>
      <c r="AC42" s="848"/>
      <c r="AD42" s="848"/>
      <c r="AE42" s="848"/>
      <c r="AF42" s="848"/>
      <c r="AG42" s="848"/>
      <c r="AH42" s="848"/>
      <c r="AI42" s="848"/>
      <c r="AJ42" s="848"/>
      <c r="AK42" s="848"/>
      <c r="AL42" s="848"/>
      <c r="AM42" s="848"/>
      <c r="AN42" s="848"/>
      <c r="AO42" s="848"/>
      <c r="AP42" s="848"/>
      <c r="AQ42" s="849"/>
      <c r="AR42" s="849"/>
      <c r="AS42" s="849"/>
      <c r="AT42" s="849"/>
      <c r="AU42" s="849"/>
      <c r="AV42" s="849"/>
      <c r="AW42" s="849"/>
      <c r="AX42" s="849"/>
      <c r="AY42" s="849"/>
      <c r="AZ42" s="849"/>
      <c r="BA42" s="849"/>
      <c r="BB42" s="849"/>
      <c r="BC42" s="849"/>
      <c r="BD42" s="849"/>
      <c r="BE42" s="849"/>
      <c r="BF42" s="849"/>
      <c r="BG42" s="849"/>
      <c r="BH42" s="849"/>
      <c r="BI42" s="849"/>
      <c r="BJ42" s="849"/>
      <c r="BK42" s="849"/>
      <c r="BL42" s="849"/>
      <c r="BM42" s="849"/>
      <c r="BN42" s="849"/>
      <c r="BO42" s="849"/>
      <c r="BP42" s="849"/>
      <c r="BQ42" s="849"/>
      <c r="BR42" s="849"/>
      <c r="BS42" s="849"/>
      <c r="BT42" s="849"/>
    </row>
    <row r="43" spans="1:72" ht="15" customHeight="1">
      <c r="A43" s="170" t="str">
        <f>'2.Cost Allocation'!A43</f>
        <v>Structural Landscaping</v>
      </c>
      <c r="B43" s="202"/>
      <c r="C43" s="92"/>
      <c r="D43" s="191"/>
      <c r="E43" s="202"/>
      <c r="F43" s="92"/>
      <c r="G43" s="191"/>
      <c r="H43" s="202"/>
      <c r="I43" s="92"/>
      <c r="J43" s="191"/>
      <c r="K43" s="92"/>
      <c r="L43" s="92"/>
      <c r="M43" s="191"/>
      <c r="N43" s="202"/>
      <c r="O43" s="92"/>
      <c r="P43" s="191"/>
      <c r="Q43" s="92"/>
      <c r="R43" s="92"/>
      <c r="S43" s="191"/>
      <c r="T43" s="154"/>
      <c r="U43" s="154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</row>
    <row r="44" spans="1:72" s="850" customFormat="1" ht="15" customHeight="1" thickBot="1">
      <c r="A44" s="1076" t="str">
        <f>'2.Cost Allocation'!A44</f>
        <v>35 hectares</v>
      </c>
      <c r="B44" s="861" t="s">
        <v>247</v>
      </c>
      <c r="C44" s="862" t="s">
        <v>247</v>
      </c>
      <c r="D44" s="863" t="s">
        <v>247</v>
      </c>
      <c r="E44" s="861" t="s">
        <v>247</v>
      </c>
      <c r="F44" s="862" t="s">
        <v>247</v>
      </c>
      <c r="G44" s="863" t="s">
        <v>247</v>
      </c>
      <c r="H44" s="859">
        <f>'2.Cost Allocation'!$E$44</f>
        <v>1925000</v>
      </c>
      <c r="I44" s="860">
        <v>0</v>
      </c>
      <c r="J44" s="1077">
        <f>H44-I44</f>
        <v>1925000</v>
      </c>
      <c r="K44" s="862" t="s">
        <v>247</v>
      </c>
      <c r="L44" s="1078" t="s">
        <v>247</v>
      </c>
      <c r="M44" s="863" t="s">
        <v>247</v>
      </c>
      <c r="N44" s="861" t="s">
        <v>247</v>
      </c>
      <c r="O44" s="1078" t="s">
        <v>247</v>
      </c>
      <c r="P44" s="863" t="s">
        <v>247</v>
      </c>
      <c r="Q44" s="862" t="s">
        <v>247</v>
      </c>
      <c r="R44" s="1078" t="s">
        <v>247</v>
      </c>
      <c r="S44" s="863" t="s">
        <v>247</v>
      </c>
      <c r="T44" s="889"/>
      <c r="U44" s="1079"/>
      <c r="V44" s="848"/>
      <c r="W44" s="848"/>
      <c r="X44" s="848"/>
      <c r="Y44" s="848"/>
      <c r="Z44" s="848"/>
      <c r="AA44" s="848"/>
      <c r="AB44" s="848"/>
      <c r="AC44" s="848"/>
      <c r="AD44" s="848"/>
      <c r="AE44" s="848"/>
      <c r="AF44" s="848"/>
      <c r="AG44" s="848"/>
      <c r="AH44" s="848"/>
      <c r="AI44" s="848"/>
      <c r="AJ44" s="848"/>
      <c r="AK44" s="848"/>
      <c r="AL44" s="848"/>
      <c r="AM44" s="848"/>
      <c r="AN44" s="848"/>
      <c r="AO44" s="848"/>
      <c r="AP44" s="848"/>
      <c r="AQ44" s="849"/>
      <c r="AR44" s="849"/>
      <c r="AS44" s="849"/>
      <c r="AT44" s="849"/>
      <c r="AU44" s="849"/>
      <c r="AV44" s="849"/>
      <c r="AW44" s="849"/>
      <c r="AX44" s="849"/>
      <c r="AY44" s="849"/>
      <c r="AZ44" s="849"/>
      <c r="BA44" s="849"/>
      <c r="BB44" s="849"/>
      <c r="BC44" s="849"/>
      <c r="BD44" s="849"/>
      <c r="BE44" s="849"/>
      <c r="BF44" s="849"/>
      <c r="BG44" s="849"/>
      <c r="BH44" s="849"/>
      <c r="BI44" s="849"/>
      <c r="BJ44" s="849"/>
      <c r="BK44" s="849"/>
      <c r="BL44" s="849"/>
      <c r="BM44" s="849"/>
      <c r="BN44" s="849"/>
      <c r="BO44" s="849"/>
      <c r="BP44" s="849"/>
      <c r="BQ44" s="849"/>
      <c r="BR44" s="849"/>
      <c r="BS44" s="849"/>
      <c r="BT44" s="849"/>
    </row>
    <row r="45" spans="1:72" s="144" customFormat="1" ht="15" customHeight="1">
      <c r="A45" s="207" t="str">
        <f>'2.Cost Allocation'!A45</f>
        <v>Totals</v>
      </c>
      <c r="B45" s="382">
        <f aca="true" t="shared" si="3" ref="B45:G45">SUM(B32:B44)</f>
        <v>22154000</v>
      </c>
      <c r="C45" s="383">
        <f t="shared" si="3"/>
        <v>6138000</v>
      </c>
      <c r="D45" s="384">
        <f t="shared" si="3"/>
        <v>16016000</v>
      </c>
      <c r="E45" s="382">
        <f t="shared" si="3"/>
        <v>0</v>
      </c>
      <c r="F45" s="383">
        <f t="shared" si="3"/>
        <v>0</v>
      </c>
      <c r="G45" s="385">
        <f t="shared" si="3"/>
        <v>0</v>
      </c>
      <c r="H45" s="382">
        <f aca="true" t="shared" si="4" ref="H45:P45">SUM(H32:H44)</f>
        <v>66132000</v>
      </c>
      <c r="I45" s="356">
        <f t="shared" si="4"/>
        <v>8659200</v>
      </c>
      <c r="J45" s="385">
        <f t="shared" si="4"/>
        <v>57472800</v>
      </c>
      <c r="K45" s="382">
        <f>SUM(K32:K44)</f>
        <v>0</v>
      </c>
      <c r="L45" s="356">
        <f>SUM(L32:L44)</f>
        <v>0</v>
      </c>
      <c r="M45" s="385">
        <f>SUM(M32:M44)</f>
        <v>0</v>
      </c>
      <c r="N45" s="382">
        <f t="shared" si="4"/>
        <v>0</v>
      </c>
      <c r="O45" s="356">
        <f t="shared" si="4"/>
        <v>0</v>
      </c>
      <c r="P45" s="385">
        <f t="shared" si="4"/>
        <v>0</v>
      </c>
      <c r="Q45" s="383">
        <f>SUM(Q32:Q44)</f>
        <v>0</v>
      </c>
      <c r="R45" s="356">
        <f>SUM(R32:R44)</f>
        <v>0</v>
      </c>
      <c r="S45" s="385">
        <f>SUM(S32:S44)</f>
        <v>0</v>
      </c>
      <c r="T45" s="212">
        <f>B45+E45+H45+K45+N45+Q45</f>
        <v>88286000</v>
      </c>
      <c r="U45" s="38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</row>
    <row r="46" spans="1:72" s="144" customFormat="1" ht="15" customHeight="1" thickBot="1">
      <c r="A46" s="387" t="str">
        <f>'2.Cost Allocation'!A46</f>
        <v>Totals excluding specific contributions allocated</v>
      </c>
      <c r="B46" s="388">
        <f aca="true" t="shared" si="5" ref="B46:S46">B45</f>
        <v>22154000</v>
      </c>
      <c r="C46" s="336">
        <f t="shared" si="5"/>
        <v>6138000</v>
      </c>
      <c r="D46" s="394">
        <f t="shared" si="5"/>
        <v>16016000</v>
      </c>
      <c r="E46" s="388">
        <f t="shared" si="5"/>
        <v>0</v>
      </c>
      <c r="F46" s="336">
        <f t="shared" si="5"/>
        <v>0</v>
      </c>
      <c r="G46" s="395">
        <f t="shared" si="5"/>
        <v>0</v>
      </c>
      <c r="H46" s="388">
        <f t="shared" si="5"/>
        <v>66132000</v>
      </c>
      <c r="I46" s="336">
        <f t="shared" si="5"/>
        <v>8659200</v>
      </c>
      <c r="J46" s="395">
        <f t="shared" si="5"/>
        <v>57472800</v>
      </c>
      <c r="K46" s="388">
        <f t="shared" si="5"/>
        <v>0</v>
      </c>
      <c r="L46" s="336">
        <f t="shared" si="5"/>
        <v>0</v>
      </c>
      <c r="M46" s="395">
        <f t="shared" si="5"/>
        <v>0</v>
      </c>
      <c r="N46" s="388">
        <f t="shared" si="5"/>
        <v>0</v>
      </c>
      <c r="O46" s="336">
        <f t="shared" si="5"/>
        <v>0</v>
      </c>
      <c r="P46" s="395">
        <f t="shared" si="5"/>
        <v>0</v>
      </c>
      <c r="Q46" s="336">
        <f t="shared" si="5"/>
        <v>0</v>
      </c>
      <c r="R46" s="336">
        <f t="shared" si="5"/>
        <v>0</v>
      </c>
      <c r="S46" s="336">
        <f t="shared" si="5"/>
        <v>0</v>
      </c>
      <c r="T46" s="389">
        <f>B46+E46+H46+K46+N46+Q46</f>
        <v>88286000</v>
      </c>
      <c r="U46" s="390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</row>
    <row r="47" spans="1:72" ht="15" customHeight="1" thickBot="1">
      <c r="A47" s="147"/>
      <c r="B47" s="195"/>
      <c r="C47" s="195"/>
      <c r="D47" s="195"/>
      <c r="E47" s="149"/>
      <c r="F47" s="149"/>
      <c r="G47" s="149"/>
      <c r="H47" s="149"/>
      <c r="I47" s="149"/>
      <c r="J47" s="149"/>
      <c r="K47" s="152"/>
      <c r="L47" s="152"/>
      <c r="M47" s="152"/>
      <c r="N47" s="150"/>
      <c r="O47" s="150"/>
      <c r="P47" s="150"/>
      <c r="Q47" s="151"/>
      <c r="R47" s="151"/>
      <c r="S47" s="151"/>
      <c r="T47" s="151"/>
      <c r="U47" s="153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</row>
    <row r="48" spans="1:72" ht="15" customHeight="1" thickBot="1">
      <c r="A48" s="373" t="str">
        <f>'2.Cost Allocation'!A48</f>
        <v>CENTRAL FRAMEWORK PLAN</v>
      </c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7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</row>
    <row r="49" spans="1:72" ht="15" customHeight="1">
      <c r="A49" s="196" t="str">
        <f>'2.Cost Allocation'!A49</f>
        <v>A96 Duelling</v>
      </c>
      <c r="B49" s="214"/>
      <c r="C49" s="217"/>
      <c r="D49" s="198"/>
      <c r="E49" s="214"/>
      <c r="F49" s="215"/>
      <c r="G49" s="198"/>
      <c r="H49" s="201"/>
      <c r="I49" s="215"/>
      <c r="J49" s="198"/>
      <c r="K49" s="201"/>
      <c r="L49" s="217"/>
      <c r="M49" s="198"/>
      <c r="N49" s="196"/>
      <c r="O49" s="197"/>
      <c r="P49" s="198"/>
      <c r="Q49" s="196"/>
      <c r="R49" s="197"/>
      <c r="S49" s="198"/>
      <c r="T49" s="216"/>
      <c r="U49" s="198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</row>
    <row r="50" spans="1:72" ht="15" customHeight="1">
      <c r="A50" s="169" t="str">
        <f>'2.Cost Allocation'!A50</f>
        <v>Dual carriageway: 13.5km</v>
      </c>
      <c r="B50" s="99">
        <f>'2.Cost Allocation'!$B$50</f>
        <v>34155000</v>
      </c>
      <c r="C50" s="88">
        <f>B50</f>
        <v>34155000</v>
      </c>
      <c r="D50" s="102">
        <f>B50-C50</f>
        <v>0</v>
      </c>
      <c r="E50" s="139">
        <v>0</v>
      </c>
      <c r="F50" s="140">
        <v>0</v>
      </c>
      <c r="G50" s="199">
        <v>0</v>
      </c>
      <c r="H50" s="139">
        <v>0</v>
      </c>
      <c r="I50" s="140">
        <v>0</v>
      </c>
      <c r="J50" s="199">
        <v>0</v>
      </c>
      <c r="K50" s="139">
        <v>0</v>
      </c>
      <c r="L50" s="140">
        <v>0</v>
      </c>
      <c r="M50" s="199">
        <v>0</v>
      </c>
      <c r="N50" s="139">
        <v>0</v>
      </c>
      <c r="O50" s="140">
        <v>0</v>
      </c>
      <c r="P50" s="199">
        <v>0</v>
      </c>
      <c r="Q50" s="139">
        <v>0</v>
      </c>
      <c r="R50" s="140">
        <v>0</v>
      </c>
      <c r="S50" s="199">
        <v>0</v>
      </c>
      <c r="T50" s="122"/>
      <c r="U50" s="626" t="s">
        <v>280</v>
      </c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</row>
    <row r="51" spans="1:72" ht="15" customHeight="1">
      <c r="A51" s="169" t="str">
        <f>'2.Cost Allocation'!A51</f>
        <v>Road over rail bridges: 2 Nr</v>
      </c>
      <c r="B51" s="99">
        <f>'2.Cost Allocation'!$B$51</f>
        <v>5500000</v>
      </c>
      <c r="C51" s="88">
        <f>B51</f>
        <v>5500000</v>
      </c>
      <c r="D51" s="102">
        <f>B51-C51</f>
        <v>0</v>
      </c>
      <c r="E51" s="139" t="s">
        <v>247</v>
      </c>
      <c r="F51" s="140" t="s">
        <v>247</v>
      </c>
      <c r="G51" s="199" t="s">
        <v>247</v>
      </c>
      <c r="H51" s="139" t="s">
        <v>247</v>
      </c>
      <c r="I51" s="140" t="s">
        <v>247</v>
      </c>
      <c r="J51" s="199" t="s">
        <v>247</v>
      </c>
      <c r="K51" s="139" t="s">
        <v>247</v>
      </c>
      <c r="L51" s="140" t="s">
        <v>247</v>
      </c>
      <c r="M51" s="199" t="s">
        <v>247</v>
      </c>
      <c r="N51" s="139" t="s">
        <v>247</v>
      </c>
      <c r="O51" s="140" t="s">
        <v>247</v>
      </c>
      <c r="P51" s="199" t="s">
        <v>247</v>
      </c>
      <c r="Q51" s="139" t="s">
        <v>247</v>
      </c>
      <c r="R51" s="140" t="s">
        <v>247</v>
      </c>
      <c r="S51" s="199" t="s">
        <v>247</v>
      </c>
      <c r="T51" s="122"/>
      <c r="U51" s="626" t="s">
        <v>280</v>
      </c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</row>
    <row r="52" spans="1:72" ht="15" customHeight="1">
      <c r="A52" s="170" t="str">
        <f>'2.Cost Allocation'!A52</f>
        <v>Railway Upgrades</v>
      </c>
      <c r="B52" s="99"/>
      <c r="C52" s="88"/>
      <c r="D52" s="104"/>
      <c r="E52" s="111"/>
      <c r="F52" s="81"/>
      <c r="G52" s="112"/>
      <c r="H52" s="111"/>
      <c r="I52" s="81"/>
      <c r="J52" s="112"/>
      <c r="K52" s="111"/>
      <c r="L52" s="81"/>
      <c r="M52" s="112"/>
      <c r="N52" s="111"/>
      <c r="O52" s="81"/>
      <c r="P52" s="112"/>
      <c r="Q52" s="111"/>
      <c r="R52" s="81"/>
      <c r="S52" s="112"/>
      <c r="T52" s="122"/>
      <c r="U52" s="200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</row>
    <row r="53" spans="1:72" ht="15" customHeight="1">
      <c r="A53" s="169" t="str">
        <f>'2.Cost Allocation'!A53</f>
        <v>Signaling, passing places, tbc</v>
      </c>
      <c r="B53" s="99">
        <f>'2.Cost Allocation'!$B$53</f>
        <v>7700000</v>
      </c>
      <c r="C53" s="88">
        <f>B53</f>
        <v>7700000</v>
      </c>
      <c r="D53" s="102">
        <f>B53-C53</f>
        <v>0</v>
      </c>
      <c r="E53" s="139" t="s">
        <v>247</v>
      </c>
      <c r="F53" s="140" t="s">
        <v>247</v>
      </c>
      <c r="G53" s="199" t="s">
        <v>247</v>
      </c>
      <c r="H53" s="139" t="s">
        <v>247</v>
      </c>
      <c r="I53" s="140" t="s">
        <v>247</v>
      </c>
      <c r="J53" s="199" t="s">
        <v>247</v>
      </c>
      <c r="K53" s="139" t="s">
        <v>247</v>
      </c>
      <c r="L53" s="140" t="s">
        <v>247</v>
      </c>
      <c r="M53" s="199" t="s">
        <v>247</v>
      </c>
      <c r="N53" s="139" t="s">
        <v>247</v>
      </c>
      <c r="O53" s="140" t="s">
        <v>247</v>
      </c>
      <c r="P53" s="199" t="s">
        <v>247</v>
      </c>
      <c r="Q53" s="139" t="s">
        <v>247</v>
      </c>
      <c r="R53" s="140" t="s">
        <v>247</v>
      </c>
      <c r="S53" s="199" t="s">
        <v>247</v>
      </c>
      <c r="T53" s="122"/>
      <c r="U53" s="626" t="s">
        <v>280</v>
      </c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</row>
    <row r="54" spans="1:72" ht="15" customHeight="1">
      <c r="A54" s="170" t="str">
        <f>'2.Cost Allocation'!A54</f>
        <v>New Wildlife / Landscape Corridors</v>
      </c>
      <c r="B54" s="99"/>
      <c r="C54" s="88"/>
      <c r="D54" s="104"/>
      <c r="E54" s="111"/>
      <c r="F54" s="81"/>
      <c r="G54" s="112"/>
      <c r="H54" s="111"/>
      <c r="I54" s="81"/>
      <c r="J54" s="112"/>
      <c r="K54" s="111"/>
      <c r="L54" s="81"/>
      <c r="M54" s="112"/>
      <c r="N54" s="111"/>
      <c r="O54" s="81"/>
      <c r="P54" s="112"/>
      <c r="Q54" s="111"/>
      <c r="R54" s="81"/>
      <c r="S54" s="112"/>
      <c r="T54" s="122"/>
      <c r="U54" s="200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</row>
    <row r="55" spans="1:72" s="850" customFormat="1" ht="15" customHeight="1">
      <c r="A55" s="837" t="str">
        <f>'2.Cost Allocation'!A55</f>
        <v>Woodland: 300 hectares</v>
      </c>
      <c r="B55" s="838">
        <f>'2.Cost Allocation'!$B$55</f>
        <v>11550000</v>
      </c>
      <c r="C55" s="851">
        <v>0</v>
      </c>
      <c r="D55" s="869">
        <f>B55-C55</f>
        <v>11550000</v>
      </c>
      <c r="E55" s="1080" t="s">
        <v>247</v>
      </c>
      <c r="F55" s="1081" t="s">
        <v>247</v>
      </c>
      <c r="G55" s="1082" t="s">
        <v>247</v>
      </c>
      <c r="H55" s="1080" t="s">
        <v>247</v>
      </c>
      <c r="I55" s="1081" t="s">
        <v>247</v>
      </c>
      <c r="J55" s="1082" t="s">
        <v>247</v>
      </c>
      <c r="K55" s="1080" t="s">
        <v>247</v>
      </c>
      <c r="L55" s="1081" t="s">
        <v>247</v>
      </c>
      <c r="M55" s="1082" t="s">
        <v>247</v>
      </c>
      <c r="N55" s="1080" t="s">
        <v>247</v>
      </c>
      <c r="O55" s="1081" t="s">
        <v>247</v>
      </c>
      <c r="P55" s="1082" t="s">
        <v>247</v>
      </c>
      <c r="Q55" s="1080" t="s">
        <v>247</v>
      </c>
      <c r="R55" s="1081" t="s">
        <v>247</v>
      </c>
      <c r="S55" s="1082" t="s">
        <v>247</v>
      </c>
      <c r="T55" s="856"/>
      <c r="U55" s="1075"/>
      <c r="V55" s="848"/>
      <c r="W55" s="848"/>
      <c r="X55" s="848"/>
      <c r="Y55" s="848"/>
      <c r="Z55" s="848"/>
      <c r="AA55" s="848"/>
      <c r="AB55" s="848"/>
      <c r="AC55" s="848"/>
      <c r="AD55" s="848"/>
      <c r="AE55" s="848"/>
      <c r="AF55" s="848"/>
      <c r="AG55" s="848"/>
      <c r="AH55" s="848"/>
      <c r="AI55" s="848"/>
      <c r="AJ55" s="848"/>
      <c r="AK55" s="848"/>
      <c r="AL55" s="848"/>
      <c r="AM55" s="848"/>
      <c r="AN55" s="848"/>
      <c r="AO55" s="848"/>
      <c r="AP55" s="848"/>
      <c r="AQ55" s="849"/>
      <c r="AR55" s="849"/>
      <c r="AS55" s="849"/>
      <c r="AT55" s="849"/>
      <c r="AU55" s="849"/>
      <c r="AV55" s="849"/>
      <c r="AW55" s="849"/>
      <c r="AX55" s="849"/>
      <c r="AY55" s="849"/>
      <c r="AZ55" s="849"/>
      <c r="BA55" s="849"/>
      <c r="BB55" s="849"/>
      <c r="BC55" s="849"/>
      <c r="BD55" s="849"/>
      <c r="BE55" s="849"/>
      <c r="BF55" s="849"/>
      <c r="BG55" s="849"/>
      <c r="BH55" s="849"/>
      <c r="BI55" s="849"/>
      <c r="BJ55" s="849"/>
      <c r="BK55" s="849"/>
      <c r="BL55" s="849"/>
      <c r="BM55" s="849"/>
      <c r="BN55" s="849"/>
      <c r="BO55" s="849"/>
      <c r="BP55" s="849"/>
      <c r="BQ55" s="849"/>
      <c r="BR55" s="849"/>
      <c r="BS55" s="849"/>
      <c r="BT55" s="849"/>
    </row>
    <row r="56" spans="1:72" ht="15" customHeight="1">
      <c r="A56" s="170" t="str">
        <f>'2.Cost Allocation'!A56</f>
        <v>New Landscapes</v>
      </c>
      <c r="B56" s="99"/>
      <c r="C56" s="88"/>
      <c r="D56" s="104"/>
      <c r="E56" s="111"/>
      <c r="F56" s="81"/>
      <c r="G56" s="112"/>
      <c r="H56" s="111"/>
      <c r="I56" s="81"/>
      <c r="J56" s="112"/>
      <c r="K56" s="111"/>
      <c r="L56" s="81"/>
      <c r="M56" s="112"/>
      <c r="N56" s="111"/>
      <c r="O56" s="81"/>
      <c r="P56" s="112"/>
      <c r="Q56" s="111"/>
      <c r="R56" s="81"/>
      <c r="S56" s="112"/>
      <c r="T56" s="122"/>
      <c r="U56" s="200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</row>
    <row r="57" spans="1:72" s="850" customFormat="1" ht="15" customHeight="1">
      <c r="A57" s="837" t="str">
        <f>'2.Cost Allocation'!A57</f>
        <v>Longman Park: 9 hectares</v>
      </c>
      <c r="B57" s="838">
        <f>'2.Cost Allocation'!$B$57</f>
        <v>4950000</v>
      </c>
      <c r="C57" s="851">
        <v>0</v>
      </c>
      <c r="D57" s="869">
        <f>B57-C57</f>
        <v>4950000</v>
      </c>
      <c r="E57" s="1080" t="s">
        <v>247</v>
      </c>
      <c r="F57" s="1081" t="s">
        <v>247</v>
      </c>
      <c r="G57" s="1082" t="s">
        <v>247</v>
      </c>
      <c r="H57" s="1080" t="s">
        <v>247</v>
      </c>
      <c r="I57" s="1081" t="s">
        <v>247</v>
      </c>
      <c r="J57" s="1082" t="s">
        <v>247</v>
      </c>
      <c r="K57" s="1080" t="s">
        <v>247</v>
      </c>
      <c r="L57" s="1081" t="s">
        <v>247</v>
      </c>
      <c r="M57" s="1082" t="s">
        <v>247</v>
      </c>
      <c r="N57" s="1080" t="s">
        <v>247</v>
      </c>
      <c r="O57" s="1081" t="s">
        <v>247</v>
      </c>
      <c r="P57" s="1082" t="s">
        <v>247</v>
      </c>
      <c r="Q57" s="1080" t="s">
        <v>247</v>
      </c>
      <c r="R57" s="1081" t="s">
        <v>247</v>
      </c>
      <c r="S57" s="1082" t="s">
        <v>247</v>
      </c>
      <c r="T57" s="856"/>
      <c r="U57" s="1075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8"/>
      <c r="AK57" s="848"/>
      <c r="AL57" s="848"/>
      <c r="AM57" s="848"/>
      <c r="AN57" s="848"/>
      <c r="AO57" s="848"/>
      <c r="AP57" s="848"/>
      <c r="AQ57" s="849"/>
      <c r="AR57" s="849"/>
      <c r="AS57" s="849"/>
      <c r="AT57" s="849"/>
      <c r="AU57" s="849"/>
      <c r="AV57" s="849"/>
      <c r="AW57" s="849"/>
      <c r="AX57" s="849"/>
      <c r="AY57" s="849"/>
      <c r="AZ57" s="849"/>
      <c r="BA57" s="849"/>
      <c r="BB57" s="849"/>
      <c r="BC57" s="849"/>
      <c r="BD57" s="849"/>
      <c r="BE57" s="849"/>
      <c r="BF57" s="849"/>
      <c r="BG57" s="849"/>
      <c r="BH57" s="849"/>
      <c r="BI57" s="849"/>
      <c r="BJ57" s="849"/>
      <c r="BK57" s="849"/>
      <c r="BL57" s="849"/>
      <c r="BM57" s="849"/>
      <c r="BN57" s="849"/>
      <c r="BO57" s="849"/>
      <c r="BP57" s="849"/>
      <c r="BQ57" s="849"/>
      <c r="BR57" s="849"/>
      <c r="BS57" s="849"/>
      <c r="BT57" s="849"/>
    </row>
    <row r="58" spans="1:72" ht="15" customHeight="1">
      <c r="A58" s="170" t="str">
        <f>'2.Cost Allocation'!A58</f>
        <v>Paths and Trails</v>
      </c>
      <c r="B58" s="99"/>
      <c r="C58" s="88"/>
      <c r="D58" s="104"/>
      <c r="E58" s="111"/>
      <c r="F58" s="81"/>
      <c r="G58" s="112"/>
      <c r="H58" s="111"/>
      <c r="I58" s="81"/>
      <c r="J58" s="112"/>
      <c r="K58" s="111"/>
      <c r="L58" s="81"/>
      <c r="M58" s="112"/>
      <c r="N58" s="111"/>
      <c r="O58" s="81"/>
      <c r="P58" s="112"/>
      <c r="Q58" s="111"/>
      <c r="R58" s="81"/>
      <c r="S58" s="112"/>
      <c r="T58" s="122"/>
      <c r="U58" s="200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</row>
    <row r="59" spans="1:72" s="850" customFormat="1" ht="15" customHeight="1">
      <c r="A59" s="837" t="str">
        <f>'2.Cost Allocation'!A59</f>
        <v>150 km</v>
      </c>
      <c r="B59" s="838">
        <f>'2.Cost Allocation'!$B$59</f>
        <v>14025000</v>
      </c>
      <c r="C59" s="851">
        <v>0</v>
      </c>
      <c r="D59" s="869">
        <f>B59-C59</f>
        <v>14025000</v>
      </c>
      <c r="E59" s="1080" t="s">
        <v>247</v>
      </c>
      <c r="F59" s="1081" t="s">
        <v>247</v>
      </c>
      <c r="G59" s="1082" t="s">
        <v>247</v>
      </c>
      <c r="H59" s="1080" t="s">
        <v>247</v>
      </c>
      <c r="I59" s="1081" t="s">
        <v>247</v>
      </c>
      <c r="J59" s="1082" t="s">
        <v>247</v>
      </c>
      <c r="K59" s="1080" t="s">
        <v>247</v>
      </c>
      <c r="L59" s="1081" t="s">
        <v>247</v>
      </c>
      <c r="M59" s="1082" t="s">
        <v>247</v>
      </c>
      <c r="N59" s="1080" t="s">
        <v>247</v>
      </c>
      <c r="O59" s="1081" t="s">
        <v>247</v>
      </c>
      <c r="P59" s="1082" t="s">
        <v>247</v>
      </c>
      <c r="Q59" s="1080" t="s">
        <v>247</v>
      </c>
      <c r="R59" s="1081" t="s">
        <v>247</v>
      </c>
      <c r="S59" s="1082" t="s">
        <v>247</v>
      </c>
      <c r="T59" s="856"/>
      <c r="U59" s="1075"/>
      <c r="V59" s="848"/>
      <c r="W59" s="848"/>
      <c r="X59" s="848"/>
      <c r="Y59" s="848"/>
      <c r="Z59" s="848"/>
      <c r="AA59" s="848"/>
      <c r="AB59" s="848"/>
      <c r="AC59" s="848"/>
      <c r="AD59" s="848"/>
      <c r="AE59" s="848"/>
      <c r="AF59" s="848"/>
      <c r="AG59" s="848"/>
      <c r="AH59" s="848"/>
      <c r="AI59" s="848"/>
      <c r="AJ59" s="848"/>
      <c r="AK59" s="848"/>
      <c r="AL59" s="848"/>
      <c r="AM59" s="848"/>
      <c r="AN59" s="848"/>
      <c r="AO59" s="848"/>
      <c r="AP59" s="848"/>
      <c r="AQ59" s="849"/>
      <c r="AR59" s="849"/>
      <c r="AS59" s="849"/>
      <c r="AT59" s="849"/>
      <c r="AU59" s="849"/>
      <c r="AV59" s="849"/>
      <c r="AW59" s="849"/>
      <c r="AX59" s="849"/>
      <c r="AY59" s="849"/>
      <c r="AZ59" s="849"/>
      <c r="BA59" s="849"/>
      <c r="BB59" s="849"/>
      <c r="BC59" s="849"/>
      <c r="BD59" s="849"/>
      <c r="BE59" s="849"/>
      <c r="BF59" s="849"/>
      <c r="BG59" s="849"/>
      <c r="BH59" s="849"/>
      <c r="BI59" s="849"/>
      <c r="BJ59" s="849"/>
      <c r="BK59" s="849"/>
      <c r="BL59" s="849"/>
      <c r="BM59" s="849"/>
      <c r="BN59" s="849"/>
      <c r="BO59" s="849"/>
      <c r="BP59" s="849"/>
      <c r="BQ59" s="849"/>
      <c r="BR59" s="849"/>
      <c r="BS59" s="849"/>
      <c r="BT59" s="849"/>
    </row>
    <row r="60" spans="1:72" ht="15" customHeight="1">
      <c r="A60" s="1083" t="str">
        <f>'2.Cost Allocation'!A60</f>
        <v>Scottish Water - Wastewater Development</v>
      </c>
      <c r="B60" s="99"/>
      <c r="C60" s="88"/>
      <c r="D60" s="104"/>
      <c r="E60" s="111"/>
      <c r="F60" s="81"/>
      <c r="G60" s="112"/>
      <c r="H60" s="111"/>
      <c r="I60" s="81"/>
      <c r="J60" s="112"/>
      <c r="K60" s="111"/>
      <c r="L60" s="81"/>
      <c r="M60" s="112"/>
      <c r="N60" s="111"/>
      <c r="O60" s="81"/>
      <c r="P60" s="112"/>
      <c r="Q60" s="111"/>
      <c r="R60" s="81"/>
      <c r="S60" s="112"/>
      <c r="T60" s="122"/>
      <c r="U60" s="200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</row>
    <row r="61" spans="1:72" ht="15" customHeight="1">
      <c r="A61" s="169" t="str">
        <f>'2.Cost Allocation'!A61</f>
        <v>Inverness East Option 1</v>
      </c>
      <c r="B61" s="99">
        <f>'2.Cost Allocation'!$B$61</f>
        <v>0</v>
      </c>
      <c r="C61" s="88">
        <f>B61*0.6</f>
        <v>0</v>
      </c>
      <c r="D61" s="102">
        <f>B61-C61</f>
        <v>0</v>
      </c>
      <c r="E61" s="139" t="s">
        <v>247</v>
      </c>
      <c r="F61" s="140" t="s">
        <v>247</v>
      </c>
      <c r="G61" s="199" t="s">
        <v>247</v>
      </c>
      <c r="H61" s="139" t="s">
        <v>247</v>
      </c>
      <c r="I61" s="140" t="s">
        <v>247</v>
      </c>
      <c r="J61" s="199" t="s">
        <v>247</v>
      </c>
      <c r="K61" s="139" t="s">
        <v>247</v>
      </c>
      <c r="L61" s="140" t="s">
        <v>247</v>
      </c>
      <c r="M61" s="199" t="s">
        <v>247</v>
      </c>
      <c r="N61" s="139" t="s">
        <v>247</v>
      </c>
      <c r="O61" s="140" t="s">
        <v>247</v>
      </c>
      <c r="P61" s="199" t="s">
        <v>247</v>
      </c>
      <c r="Q61" s="139" t="s">
        <v>247</v>
      </c>
      <c r="R61" s="140" t="s">
        <v>247</v>
      </c>
      <c r="S61" s="199" t="s">
        <v>247</v>
      </c>
      <c r="T61" s="122"/>
      <c r="U61" s="474" t="s">
        <v>293</v>
      </c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</row>
    <row r="62" spans="1:72" ht="15" customHeight="1">
      <c r="A62" s="169" t="str">
        <f>'2.Cost Allocation'!A62</f>
        <v>Nairn Area Option 4</v>
      </c>
      <c r="B62" s="99">
        <f>'2.Cost Allocation'!$B$62</f>
        <v>0</v>
      </c>
      <c r="C62" s="88">
        <f>B62*0.6</f>
        <v>0</v>
      </c>
      <c r="D62" s="102">
        <f>B62-C62</f>
        <v>0</v>
      </c>
      <c r="E62" s="139" t="s">
        <v>247</v>
      </c>
      <c r="F62" s="140" t="s">
        <v>247</v>
      </c>
      <c r="G62" s="199" t="s">
        <v>247</v>
      </c>
      <c r="H62" s="139" t="s">
        <v>247</v>
      </c>
      <c r="I62" s="140" t="s">
        <v>247</v>
      </c>
      <c r="J62" s="199" t="s">
        <v>247</v>
      </c>
      <c r="K62" s="139" t="s">
        <v>247</v>
      </c>
      <c r="L62" s="140" t="s">
        <v>247</v>
      </c>
      <c r="M62" s="199" t="s">
        <v>247</v>
      </c>
      <c r="N62" s="139" t="s">
        <v>247</v>
      </c>
      <c r="O62" s="140" t="s">
        <v>247</v>
      </c>
      <c r="P62" s="199" t="s">
        <v>247</v>
      </c>
      <c r="Q62" s="139" t="s">
        <v>247</v>
      </c>
      <c r="R62" s="140" t="s">
        <v>247</v>
      </c>
      <c r="S62" s="199" t="s">
        <v>247</v>
      </c>
      <c r="T62" s="122"/>
      <c r="U62" s="474" t="s">
        <v>293</v>
      </c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</row>
    <row r="63" spans="1:72" ht="15" customHeight="1">
      <c r="A63" s="169" t="str">
        <f>'2.Cost Allocation'!A63</f>
        <v>Central Area Option 2</v>
      </c>
      <c r="B63" s="99">
        <f>'2.Cost Allocation'!$B$63</f>
        <v>0</v>
      </c>
      <c r="C63" s="88">
        <f>B63*0.6</f>
        <v>0</v>
      </c>
      <c r="D63" s="102">
        <f>B63-C63</f>
        <v>0</v>
      </c>
      <c r="E63" s="139" t="s">
        <v>247</v>
      </c>
      <c r="F63" s="140" t="s">
        <v>247</v>
      </c>
      <c r="G63" s="199" t="s">
        <v>247</v>
      </c>
      <c r="H63" s="139" t="s">
        <v>247</v>
      </c>
      <c r="I63" s="140" t="s">
        <v>247</v>
      </c>
      <c r="J63" s="199" t="s">
        <v>247</v>
      </c>
      <c r="K63" s="139" t="s">
        <v>247</v>
      </c>
      <c r="L63" s="140" t="s">
        <v>247</v>
      </c>
      <c r="M63" s="199" t="s">
        <v>247</v>
      </c>
      <c r="N63" s="139" t="s">
        <v>247</v>
      </c>
      <c r="O63" s="140" t="s">
        <v>247</v>
      </c>
      <c r="P63" s="199" t="s">
        <v>247</v>
      </c>
      <c r="Q63" s="139" t="s">
        <v>247</v>
      </c>
      <c r="R63" s="140" t="s">
        <v>247</v>
      </c>
      <c r="S63" s="199" t="s">
        <v>247</v>
      </c>
      <c r="T63" s="122"/>
      <c r="U63" s="474" t="s">
        <v>293</v>
      </c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</row>
    <row r="64" spans="1:72" ht="15" customHeight="1">
      <c r="A64" s="169" t="s">
        <v>292</v>
      </c>
      <c r="B64" s="99">
        <f>'2.Cost Allocation'!$B$64</f>
        <v>0</v>
      </c>
      <c r="C64" s="88">
        <v>0</v>
      </c>
      <c r="D64" s="102">
        <f>B64-C64</f>
        <v>0</v>
      </c>
      <c r="E64" s="139" t="s">
        <v>247</v>
      </c>
      <c r="F64" s="140" t="s">
        <v>247</v>
      </c>
      <c r="G64" s="199" t="s">
        <v>247</v>
      </c>
      <c r="H64" s="139" t="s">
        <v>247</v>
      </c>
      <c r="I64" s="140" t="s">
        <v>247</v>
      </c>
      <c r="J64" s="199" t="s">
        <v>247</v>
      </c>
      <c r="K64" s="139" t="s">
        <v>247</v>
      </c>
      <c r="L64" s="140" t="s">
        <v>247</v>
      </c>
      <c r="M64" s="199" t="s">
        <v>247</v>
      </c>
      <c r="N64" s="139" t="s">
        <v>247</v>
      </c>
      <c r="O64" s="140" t="s">
        <v>247</v>
      </c>
      <c r="P64" s="199" t="s">
        <v>247</v>
      </c>
      <c r="Q64" s="139" t="s">
        <v>247</v>
      </c>
      <c r="R64" s="140" t="s">
        <v>247</v>
      </c>
      <c r="S64" s="199" t="s">
        <v>247</v>
      </c>
      <c r="T64" s="122"/>
      <c r="U64" s="474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</row>
    <row r="65" spans="1:72" ht="15" customHeight="1">
      <c r="A65" s="170" t="str">
        <f>'2.Cost Allocation'!A65</f>
        <v>Water Supply Cost</v>
      </c>
      <c r="B65" s="99"/>
      <c r="C65" s="88"/>
      <c r="D65" s="102"/>
      <c r="E65" s="139"/>
      <c r="F65" s="140"/>
      <c r="G65" s="199"/>
      <c r="H65" s="139"/>
      <c r="I65" s="140"/>
      <c r="J65" s="199"/>
      <c r="K65" s="139"/>
      <c r="L65" s="140"/>
      <c r="M65" s="199"/>
      <c r="N65" s="139"/>
      <c r="O65" s="140"/>
      <c r="P65" s="199"/>
      <c r="Q65" s="139"/>
      <c r="R65" s="140"/>
      <c r="S65" s="199"/>
      <c r="T65" s="122"/>
      <c r="U65" s="200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</row>
    <row r="66" spans="1:72" ht="15" customHeight="1">
      <c r="A66" s="169" t="str">
        <f>'2.Cost Allocation'!A66</f>
        <v>Water Supply Cost</v>
      </c>
      <c r="B66" s="99">
        <f>'2.Cost Allocation'!$B$66</f>
        <v>0</v>
      </c>
      <c r="C66" s="88">
        <f>B66*0.9</f>
        <v>0</v>
      </c>
      <c r="D66" s="102">
        <f>B66-C66</f>
        <v>0</v>
      </c>
      <c r="E66" s="139" t="s">
        <v>247</v>
      </c>
      <c r="F66" s="140" t="s">
        <v>247</v>
      </c>
      <c r="G66" s="199" t="s">
        <v>247</v>
      </c>
      <c r="H66" s="139" t="s">
        <v>247</v>
      </c>
      <c r="I66" s="140" t="s">
        <v>247</v>
      </c>
      <c r="J66" s="199" t="s">
        <v>247</v>
      </c>
      <c r="K66" s="139" t="s">
        <v>247</v>
      </c>
      <c r="L66" s="140" t="s">
        <v>247</v>
      </c>
      <c r="M66" s="199" t="s">
        <v>247</v>
      </c>
      <c r="N66" s="139" t="s">
        <v>247</v>
      </c>
      <c r="O66" s="140" t="s">
        <v>247</v>
      </c>
      <c r="P66" s="199" t="s">
        <v>247</v>
      </c>
      <c r="Q66" s="139" t="s">
        <v>247</v>
      </c>
      <c r="R66" s="140" t="s">
        <v>247</v>
      </c>
      <c r="S66" s="199" t="s">
        <v>247</v>
      </c>
      <c r="T66" s="122"/>
      <c r="U66" s="474" t="s">
        <v>294</v>
      </c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</row>
    <row r="67" spans="1:72" ht="15" customHeight="1">
      <c r="A67" s="170" t="str">
        <f>'2.Cost Allocation'!A67</f>
        <v>Gas Supply Cost</v>
      </c>
      <c r="B67" s="99"/>
      <c r="C67" s="88"/>
      <c r="D67" s="102"/>
      <c r="E67" s="139"/>
      <c r="F67" s="140"/>
      <c r="G67" s="199"/>
      <c r="H67" s="139"/>
      <c r="I67" s="140"/>
      <c r="J67" s="199"/>
      <c r="K67" s="139"/>
      <c r="L67" s="140"/>
      <c r="M67" s="199"/>
      <c r="N67" s="139"/>
      <c r="O67" s="140"/>
      <c r="P67" s="199"/>
      <c r="Q67" s="139"/>
      <c r="R67" s="140"/>
      <c r="S67" s="199"/>
      <c r="T67" s="122"/>
      <c r="U67" s="200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</row>
    <row r="68" spans="1:72" ht="15" customHeight="1">
      <c r="A68" s="169" t="str">
        <f>'2.Cost Allocation'!A68</f>
        <v>Gas Supply Cost including Grid Substation</v>
      </c>
      <c r="B68" s="99">
        <f>'2.Cost Allocation'!$B$68</f>
        <v>0</v>
      </c>
      <c r="C68" s="88">
        <v>0</v>
      </c>
      <c r="D68" s="102">
        <v>0</v>
      </c>
      <c r="E68" s="139" t="s">
        <v>247</v>
      </c>
      <c r="F68" s="140" t="s">
        <v>247</v>
      </c>
      <c r="G68" s="199" t="s">
        <v>247</v>
      </c>
      <c r="H68" s="139" t="s">
        <v>247</v>
      </c>
      <c r="I68" s="140" t="s">
        <v>247</v>
      </c>
      <c r="J68" s="199" t="s">
        <v>247</v>
      </c>
      <c r="K68" s="139" t="s">
        <v>247</v>
      </c>
      <c r="L68" s="140" t="s">
        <v>247</v>
      </c>
      <c r="M68" s="199" t="s">
        <v>247</v>
      </c>
      <c r="N68" s="139" t="s">
        <v>247</v>
      </c>
      <c r="O68" s="140" t="s">
        <v>247</v>
      </c>
      <c r="P68" s="199" t="s">
        <v>247</v>
      </c>
      <c r="Q68" s="139" t="s">
        <v>247</v>
      </c>
      <c r="R68" s="140" t="s">
        <v>247</v>
      </c>
      <c r="S68" s="199" t="s">
        <v>247</v>
      </c>
      <c r="T68" s="122"/>
      <c r="U68" s="626" t="s">
        <v>365</v>
      </c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</row>
    <row r="69" spans="1:72" ht="15" customHeight="1">
      <c r="A69" s="170" t="str">
        <f>'2.Cost Allocation'!A69</f>
        <v>Civic Structures / Public Art</v>
      </c>
      <c r="B69" s="99"/>
      <c r="C69" s="88"/>
      <c r="D69" s="104"/>
      <c r="E69" s="111"/>
      <c r="F69" s="81"/>
      <c r="G69" s="112"/>
      <c r="H69" s="111"/>
      <c r="I69" s="81"/>
      <c r="J69" s="112"/>
      <c r="K69" s="111"/>
      <c r="L69" s="81"/>
      <c r="M69" s="112"/>
      <c r="N69" s="111"/>
      <c r="O69" s="81"/>
      <c r="P69" s="112"/>
      <c r="Q69" s="111"/>
      <c r="R69" s="81"/>
      <c r="S69" s="112"/>
      <c r="T69" s="122"/>
      <c r="U69" s="200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</row>
    <row r="70" spans="1:72" ht="15" customHeight="1">
      <c r="A70" s="169" t="str">
        <f>'2.Cost Allocation'!A70</f>
        <v>22 Nr</v>
      </c>
      <c r="B70" s="99">
        <f>'2.Cost Allocation'!$B$70</f>
        <v>2000000</v>
      </c>
      <c r="C70" s="88">
        <v>0</v>
      </c>
      <c r="D70" s="102">
        <f>B70-C70</f>
        <v>2000000</v>
      </c>
      <c r="E70" s="139" t="s">
        <v>247</v>
      </c>
      <c r="F70" s="140" t="s">
        <v>247</v>
      </c>
      <c r="G70" s="199" t="s">
        <v>247</v>
      </c>
      <c r="H70" s="139" t="s">
        <v>247</v>
      </c>
      <c r="I70" s="140" t="s">
        <v>247</v>
      </c>
      <c r="J70" s="199" t="s">
        <v>247</v>
      </c>
      <c r="K70" s="139" t="s">
        <v>247</v>
      </c>
      <c r="L70" s="140" t="s">
        <v>247</v>
      </c>
      <c r="M70" s="199" t="s">
        <v>247</v>
      </c>
      <c r="N70" s="139" t="s">
        <v>247</v>
      </c>
      <c r="O70" s="140" t="s">
        <v>247</v>
      </c>
      <c r="P70" s="199" t="s">
        <v>247</v>
      </c>
      <c r="Q70" s="139" t="s">
        <v>247</v>
      </c>
      <c r="R70" s="140" t="s">
        <v>247</v>
      </c>
      <c r="S70" s="199" t="s">
        <v>247</v>
      </c>
      <c r="T70" s="122"/>
      <c r="U70" s="200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</row>
    <row r="71" spans="1:72" ht="15" customHeight="1">
      <c r="A71" s="170" t="str">
        <f>'2.Cost Allocation'!A71</f>
        <v>Administration &amp; Fees</v>
      </c>
      <c r="B71" s="99"/>
      <c r="C71" s="88"/>
      <c r="D71" s="104"/>
      <c r="E71" s="111"/>
      <c r="F71" s="81"/>
      <c r="G71" s="112"/>
      <c r="H71" s="111"/>
      <c r="I71" s="81"/>
      <c r="J71" s="112"/>
      <c r="K71" s="111"/>
      <c r="L71" s="81"/>
      <c r="M71" s="112"/>
      <c r="N71" s="111"/>
      <c r="O71" s="81"/>
      <c r="P71" s="112"/>
      <c r="Q71" s="111"/>
      <c r="R71" s="81"/>
      <c r="S71" s="112"/>
      <c r="T71" s="122"/>
      <c r="U71" s="200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</row>
    <row r="72" spans="1:72" s="850" customFormat="1" ht="15" customHeight="1" thickBot="1">
      <c r="A72" s="858" t="str">
        <f>'2.Cost Allocation'!A72</f>
        <v>For administration and fees</v>
      </c>
      <c r="B72" s="867">
        <f>'2.Cost Allocation'!$B$72</f>
        <v>4000000</v>
      </c>
      <c r="C72" s="868">
        <v>0</v>
      </c>
      <c r="D72" s="869">
        <f>B72-C72</f>
        <v>4000000</v>
      </c>
      <c r="E72" s="886" t="s">
        <v>247</v>
      </c>
      <c r="F72" s="887" t="s">
        <v>247</v>
      </c>
      <c r="G72" s="888">
        <v>0</v>
      </c>
      <c r="H72" s="886" t="s">
        <v>247</v>
      </c>
      <c r="I72" s="887" t="s">
        <v>247</v>
      </c>
      <c r="J72" s="888">
        <v>0</v>
      </c>
      <c r="K72" s="886" t="s">
        <v>247</v>
      </c>
      <c r="L72" s="887" t="s">
        <v>247</v>
      </c>
      <c r="M72" s="888">
        <v>0</v>
      </c>
      <c r="N72" s="886" t="s">
        <v>247</v>
      </c>
      <c r="O72" s="887" t="s">
        <v>247</v>
      </c>
      <c r="P72" s="888">
        <v>0</v>
      </c>
      <c r="Q72" s="886" t="s">
        <v>247</v>
      </c>
      <c r="R72" s="887" t="s">
        <v>247</v>
      </c>
      <c r="S72" s="888">
        <v>0</v>
      </c>
      <c r="T72" s="889"/>
      <c r="U72" s="865"/>
      <c r="V72" s="848"/>
      <c r="W72" s="848"/>
      <c r="X72" s="848"/>
      <c r="Y72" s="848"/>
      <c r="Z72" s="848"/>
      <c r="AA72" s="848"/>
      <c r="AB72" s="848"/>
      <c r="AC72" s="848"/>
      <c r="AD72" s="848"/>
      <c r="AE72" s="848"/>
      <c r="AF72" s="848"/>
      <c r="AG72" s="848"/>
      <c r="AH72" s="848"/>
      <c r="AI72" s="848"/>
      <c r="AJ72" s="848"/>
      <c r="AK72" s="848"/>
      <c r="AL72" s="848"/>
      <c r="AM72" s="848"/>
      <c r="AN72" s="848"/>
      <c r="AO72" s="848"/>
      <c r="AP72" s="848"/>
      <c r="AQ72" s="849"/>
      <c r="AR72" s="849"/>
      <c r="AS72" s="849"/>
      <c r="AT72" s="849"/>
      <c r="AU72" s="849"/>
      <c r="AV72" s="849"/>
      <c r="AW72" s="849"/>
      <c r="AX72" s="849"/>
      <c r="AY72" s="849"/>
      <c r="AZ72" s="849"/>
      <c r="BA72" s="849"/>
      <c r="BB72" s="849"/>
      <c r="BC72" s="849"/>
      <c r="BD72" s="849"/>
      <c r="BE72" s="849"/>
      <c r="BF72" s="849"/>
      <c r="BG72" s="849"/>
      <c r="BH72" s="849"/>
      <c r="BI72" s="849"/>
      <c r="BJ72" s="849"/>
      <c r="BK72" s="849"/>
      <c r="BL72" s="849"/>
      <c r="BM72" s="849"/>
      <c r="BN72" s="849"/>
      <c r="BO72" s="849"/>
      <c r="BP72" s="849"/>
      <c r="BQ72" s="849"/>
      <c r="BR72" s="849"/>
      <c r="BS72" s="849"/>
      <c r="BT72" s="849"/>
    </row>
    <row r="73" spans="1:72" s="144" customFormat="1" ht="15" customHeight="1">
      <c r="A73" s="207" t="str">
        <f>'2.Cost Allocation'!A73</f>
        <v>Totals</v>
      </c>
      <c r="B73" s="399">
        <f aca="true" t="shared" si="6" ref="B73:S73">SUM(B49:B72)</f>
        <v>83880000</v>
      </c>
      <c r="C73" s="209">
        <f t="shared" si="6"/>
        <v>47355000</v>
      </c>
      <c r="D73" s="211">
        <f t="shared" si="6"/>
        <v>36525000</v>
      </c>
      <c r="E73" s="208">
        <f t="shared" si="6"/>
        <v>0</v>
      </c>
      <c r="F73" s="209">
        <f t="shared" si="6"/>
        <v>0</v>
      </c>
      <c r="G73" s="211">
        <f t="shared" si="6"/>
        <v>0</v>
      </c>
      <c r="H73" s="208">
        <f t="shared" si="6"/>
        <v>0</v>
      </c>
      <c r="I73" s="209">
        <f t="shared" si="6"/>
        <v>0</v>
      </c>
      <c r="J73" s="211">
        <f t="shared" si="6"/>
        <v>0</v>
      </c>
      <c r="K73" s="208">
        <f t="shared" si="6"/>
        <v>0</v>
      </c>
      <c r="L73" s="209">
        <f t="shared" si="6"/>
        <v>0</v>
      </c>
      <c r="M73" s="210">
        <f t="shared" si="6"/>
        <v>0</v>
      </c>
      <c r="N73" s="208">
        <f t="shared" si="6"/>
        <v>0</v>
      </c>
      <c r="O73" s="209">
        <f t="shared" si="6"/>
        <v>0</v>
      </c>
      <c r="P73" s="400">
        <f t="shared" si="6"/>
        <v>0</v>
      </c>
      <c r="Q73" s="208">
        <f t="shared" si="6"/>
        <v>0</v>
      </c>
      <c r="R73" s="209">
        <f t="shared" si="6"/>
        <v>0</v>
      </c>
      <c r="S73" s="210">
        <f t="shared" si="6"/>
        <v>0</v>
      </c>
      <c r="T73" s="212">
        <f>B73+E73+H73+K73+N73+Q73</f>
        <v>83880000</v>
      </c>
      <c r="U73" s="213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</row>
    <row r="74" spans="1:72" s="144" customFormat="1" ht="15" customHeight="1" thickBot="1">
      <c r="A74" s="381" t="str">
        <f>'2.Cost Allocation'!A74</f>
        <v>Totals excluding specific contributions allocated</v>
      </c>
      <c r="B74" s="378">
        <f aca="true" t="shared" si="7" ref="B74:S74">B73</f>
        <v>83880000</v>
      </c>
      <c r="C74" s="313">
        <f t="shared" si="7"/>
        <v>47355000</v>
      </c>
      <c r="D74" s="313">
        <f t="shared" si="7"/>
        <v>36525000</v>
      </c>
      <c r="E74" s="378">
        <f t="shared" si="7"/>
        <v>0</v>
      </c>
      <c r="F74" s="313">
        <f t="shared" si="7"/>
        <v>0</v>
      </c>
      <c r="G74" s="313">
        <f t="shared" si="7"/>
        <v>0</v>
      </c>
      <c r="H74" s="313">
        <f t="shared" si="7"/>
        <v>0</v>
      </c>
      <c r="I74" s="313">
        <f t="shared" si="7"/>
        <v>0</v>
      </c>
      <c r="J74" s="313">
        <f t="shared" si="7"/>
        <v>0</v>
      </c>
      <c r="K74" s="313">
        <f t="shared" si="7"/>
        <v>0</v>
      </c>
      <c r="L74" s="313">
        <f t="shared" si="7"/>
        <v>0</v>
      </c>
      <c r="M74" s="313">
        <f t="shared" si="7"/>
        <v>0</v>
      </c>
      <c r="N74" s="313">
        <f t="shared" si="7"/>
        <v>0</v>
      </c>
      <c r="O74" s="313">
        <f t="shared" si="7"/>
        <v>0</v>
      </c>
      <c r="P74" s="313">
        <f t="shared" si="7"/>
        <v>0</v>
      </c>
      <c r="Q74" s="313">
        <f t="shared" si="7"/>
        <v>0</v>
      </c>
      <c r="R74" s="313">
        <f t="shared" si="7"/>
        <v>0</v>
      </c>
      <c r="S74" s="313">
        <f t="shared" si="7"/>
        <v>0</v>
      </c>
      <c r="T74" s="398">
        <f>B74+E74+H74+K74+N74+Q74</f>
        <v>83880000</v>
      </c>
      <c r="U74" s="379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</row>
    <row r="75" spans="1:72" ht="15" customHeight="1" thickBot="1">
      <c r="A75" s="147"/>
      <c r="B75" s="148"/>
      <c r="C75" s="148"/>
      <c r="D75" s="148"/>
      <c r="E75" s="149"/>
      <c r="F75" s="149"/>
      <c r="G75" s="149"/>
      <c r="H75" s="149"/>
      <c r="I75" s="149"/>
      <c r="J75" s="149"/>
      <c r="K75" s="152"/>
      <c r="L75" s="152"/>
      <c r="M75" s="152"/>
      <c r="N75" s="150"/>
      <c r="O75" s="150"/>
      <c r="P75" s="150"/>
      <c r="Q75" s="151"/>
      <c r="R75" s="151"/>
      <c r="S75" s="151"/>
      <c r="T75" s="151"/>
      <c r="U75" s="153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</row>
    <row r="76" spans="1:72" ht="15" customHeight="1" thickBot="1">
      <c r="A76" s="373" t="str">
        <f>'2.Cost Allocation'!A76</f>
        <v>TORNAGRAIN FRAMEWORK PLAN</v>
      </c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7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</row>
    <row r="77" spans="1:72" ht="15" customHeight="1">
      <c r="A77" s="231" t="str">
        <f>'2.Cost Allocation'!A77</f>
        <v>Schools</v>
      </c>
      <c r="B77" s="232"/>
      <c r="C77" s="164"/>
      <c r="D77" s="233"/>
      <c r="E77" s="234"/>
      <c r="F77" s="165"/>
      <c r="G77" s="235"/>
      <c r="H77" s="234"/>
      <c r="I77" s="165"/>
      <c r="J77" s="236"/>
      <c r="K77" s="234"/>
      <c r="L77" s="165"/>
      <c r="M77" s="236"/>
      <c r="N77" s="237"/>
      <c r="O77" s="166"/>
      <c r="P77" s="238"/>
      <c r="Q77" s="234"/>
      <c r="R77" s="165"/>
      <c r="S77" s="236"/>
      <c r="T77" s="239"/>
      <c r="U77" s="240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</row>
    <row r="78" spans="1:72" ht="15" customHeight="1">
      <c r="A78" s="94" t="str">
        <f>'2.Cost Allocation'!A78</f>
        <v>3 Nr 250 Pupil Primary Schools</v>
      </c>
      <c r="B78" s="127" t="s">
        <v>247</v>
      </c>
      <c r="C78" s="129" t="s">
        <v>247</v>
      </c>
      <c r="D78" s="128" t="s">
        <v>247</v>
      </c>
      <c r="E78" s="127" t="s">
        <v>247</v>
      </c>
      <c r="F78" s="129" t="s">
        <v>247</v>
      </c>
      <c r="G78" s="128" t="s">
        <v>247</v>
      </c>
      <c r="H78" s="127" t="s">
        <v>247</v>
      </c>
      <c r="I78" s="129" t="s">
        <v>247</v>
      </c>
      <c r="J78" s="128" t="s">
        <v>247</v>
      </c>
      <c r="K78" s="127" t="s">
        <v>247</v>
      </c>
      <c r="L78" s="129" t="s">
        <v>247</v>
      </c>
      <c r="M78" s="128" t="s">
        <v>247</v>
      </c>
      <c r="N78" s="99">
        <f>'2.Cost Allocation'!$F$78</f>
        <v>20790000</v>
      </c>
      <c r="O78" s="88">
        <f>N78*0.2</f>
        <v>4158000</v>
      </c>
      <c r="P78" s="104">
        <f>N78-O78</f>
        <v>16632000</v>
      </c>
      <c r="Q78" s="127" t="s">
        <v>247</v>
      </c>
      <c r="R78" s="129" t="s">
        <v>247</v>
      </c>
      <c r="S78" s="128" t="s">
        <v>247</v>
      </c>
      <c r="T78" s="122"/>
      <c r="U78" s="126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</row>
    <row r="79" spans="1:72" ht="15" customHeight="1">
      <c r="A79" s="94" t="str">
        <f>'2.Cost Allocation'!A79</f>
        <v>1 Nr 1000 Pupil Secondary School</v>
      </c>
      <c r="B79" s="127" t="s">
        <v>247</v>
      </c>
      <c r="C79" s="129" t="s">
        <v>247</v>
      </c>
      <c r="D79" s="128" t="s">
        <v>247</v>
      </c>
      <c r="E79" s="127" t="s">
        <v>247</v>
      </c>
      <c r="F79" s="129" t="s">
        <v>247</v>
      </c>
      <c r="G79" s="128" t="s">
        <v>247</v>
      </c>
      <c r="H79" s="127" t="s">
        <v>247</v>
      </c>
      <c r="I79" s="129" t="s">
        <v>247</v>
      </c>
      <c r="J79" s="128" t="s">
        <v>247</v>
      </c>
      <c r="K79" s="127" t="s">
        <v>247</v>
      </c>
      <c r="L79" s="129" t="s">
        <v>247</v>
      </c>
      <c r="M79" s="128" t="s">
        <v>247</v>
      </c>
      <c r="N79" s="99">
        <f>'2.Cost Allocation'!$F$79</f>
        <v>15840000</v>
      </c>
      <c r="O79" s="88">
        <f>N79*0.2</f>
        <v>3168000</v>
      </c>
      <c r="P79" s="104">
        <f>N79-O79</f>
        <v>12672000</v>
      </c>
      <c r="Q79" s="127" t="s">
        <v>247</v>
      </c>
      <c r="R79" s="129" t="s">
        <v>247</v>
      </c>
      <c r="S79" s="128" t="s">
        <v>247</v>
      </c>
      <c r="T79" s="122"/>
      <c r="U79" s="125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</row>
    <row r="80" spans="1:72" ht="15" customHeight="1">
      <c r="A80" s="95" t="str">
        <f>'2.Cost Allocation'!A80</f>
        <v>Green Space</v>
      </c>
      <c r="B80" s="107"/>
      <c r="C80" s="130"/>
      <c r="D80" s="108"/>
      <c r="E80" s="111"/>
      <c r="F80" s="81"/>
      <c r="G80" s="114"/>
      <c r="H80" s="111"/>
      <c r="I80" s="81"/>
      <c r="J80" s="112"/>
      <c r="K80" s="111"/>
      <c r="L80" s="81"/>
      <c r="M80" s="112"/>
      <c r="N80" s="99"/>
      <c r="O80" s="88"/>
      <c r="P80" s="104"/>
      <c r="Q80" s="111"/>
      <c r="R80" s="81"/>
      <c r="S80" s="112"/>
      <c r="T80" s="122"/>
      <c r="U80" s="125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</row>
    <row r="81" spans="1:72" s="850" customFormat="1" ht="15" customHeight="1">
      <c r="A81" s="854" t="str">
        <f>'2.Cost Allocation'!A81</f>
        <v>Tornagrain Park: 8 hectares</v>
      </c>
      <c r="B81" s="843" t="s">
        <v>247</v>
      </c>
      <c r="C81" s="855" t="s">
        <v>247</v>
      </c>
      <c r="D81" s="844" t="s">
        <v>247</v>
      </c>
      <c r="E81" s="843" t="s">
        <v>247</v>
      </c>
      <c r="F81" s="855" t="s">
        <v>247</v>
      </c>
      <c r="G81" s="844" t="s">
        <v>247</v>
      </c>
      <c r="H81" s="843" t="s">
        <v>247</v>
      </c>
      <c r="I81" s="855" t="s">
        <v>247</v>
      </c>
      <c r="J81" s="844" t="s">
        <v>247</v>
      </c>
      <c r="K81" s="843" t="s">
        <v>247</v>
      </c>
      <c r="L81" s="855" t="s">
        <v>247</v>
      </c>
      <c r="M81" s="844" t="s">
        <v>247</v>
      </c>
      <c r="N81" s="838">
        <f>'2.Cost Allocation'!$F$81</f>
        <v>4400000</v>
      </c>
      <c r="O81" s="851">
        <v>0</v>
      </c>
      <c r="P81" s="842">
        <f>N81-O81</f>
        <v>4400000</v>
      </c>
      <c r="Q81" s="843" t="s">
        <v>247</v>
      </c>
      <c r="R81" s="855" t="s">
        <v>247</v>
      </c>
      <c r="S81" s="844" t="s">
        <v>247</v>
      </c>
      <c r="T81" s="856"/>
      <c r="U81" s="866"/>
      <c r="V81" s="848"/>
      <c r="W81" s="848"/>
      <c r="X81" s="848"/>
      <c r="Y81" s="848"/>
      <c r="Z81" s="848"/>
      <c r="AA81" s="848"/>
      <c r="AB81" s="848"/>
      <c r="AC81" s="848"/>
      <c r="AD81" s="848"/>
      <c r="AE81" s="848"/>
      <c r="AF81" s="848"/>
      <c r="AG81" s="848"/>
      <c r="AH81" s="848"/>
      <c r="AI81" s="848"/>
      <c r="AJ81" s="848"/>
      <c r="AK81" s="848"/>
      <c r="AL81" s="848"/>
      <c r="AM81" s="848"/>
      <c r="AN81" s="848"/>
      <c r="AO81" s="848"/>
      <c r="AP81" s="848"/>
      <c r="AQ81" s="849"/>
      <c r="AR81" s="849"/>
      <c r="AS81" s="849"/>
      <c r="AT81" s="849"/>
      <c r="AU81" s="849"/>
      <c r="AV81" s="849"/>
      <c r="AW81" s="849"/>
      <c r="AX81" s="849"/>
      <c r="AY81" s="849"/>
      <c r="AZ81" s="849"/>
      <c r="BA81" s="849"/>
      <c r="BB81" s="849"/>
      <c r="BC81" s="849"/>
      <c r="BD81" s="849"/>
      <c r="BE81" s="849"/>
      <c r="BF81" s="849"/>
      <c r="BG81" s="849"/>
      <c r="BH81" s="849"/>
      <c r="BI81" s="849"/>
      <c r="BJ81" s="849"/>
      <c r="BK81" s="849"/>
      <c r="BL81" s="849"/>
      <c r="BM81" s="849"/>
      <c r="BN81" s="849"/>
      <c r="BO81" s="849"/>
      <c r="BP81" s="849"/>
      <c r="BQ81" s="849"/>
      <c r="BR81" s="849"/>
      <c r="BS81" s="849"/>
      <c r="BT81" s="849"/>
    </row>
    <row r="82" spans="1:72" s="850" customFormat="1" ht="15" customHeight="1">
      <c r="A82" s="854" t="str">
        <f>'2.Cost Allocation'!A82</f>
        <v>Bowling pitches: 4 Nr</v>
      </c>
      <c r="B82" s="843" t="s">
        <v>247</v>
      </c>
      <c r="C82" s="855" t="s">
        <v>247</v>
      </c>
      <c r="D82" s="844" t="s">
        <v>247</v>
      </c>
      <c r="E82" s="843" t="s">
        <v>247</v>
      </c>
      <c r="F82" s="855" t="s">
        <v>247</v>
      </c>
      <c r="G82" s="844" t="s">
        <v>247</v>
      </c>
      <c r="H82" s="843" t="s">
        <v>247</v>
      </c>
      <c r="I82" s="855" t="s">
        <v>247</v>
      </c>
      <c r="J82" s="844" t="s">
        <v>247</v>
      </c>
      <c r="K82" s="843" t="s">
        <v>247</v>
      </c>
      <c r="L82" s="855" t="s">
        <v>247</v>
      </c>
      <c r="M82" s="844" t="s">
        <v>247</v>
      </c>
      <c r="N82" s="838">
        <f>'2.Cost Allocation'!$F$82</f>
        <v>330000</v>
      </c>
      <c r="O82" s="851">
        <v>0</v>
      </c>
      <c r="P82" s="842">
        <f>N82-O82</f>
        <v>330000</v>
      </c>
      <c r="Q82" s="843" t="s">
        <v>247</v>
      </c>
      <c r="R82" s="855" t="s">
        <v>247</v>
      </c>
      <c r="S82" s="844" t="s">
        <v>247</v>
      </c>
      <c r="T82" s="856"/>
      <c r="U82" s="866"/>
      <c r="V82" s="848"/>
      <c r="W82" s="848"/>
      <c r="X82" s="848"/>
      <c r="Y82" s="848"/>
      <c r="Z82" s="848"/>
      <c r="AA82" s="848"/>
      <c r="AB82" s="848"/>
      <c r="AC82" s="848"/>
      <c r="AD82" s="848"/>
      <c r="AE82" s="848"/>
      <c r="AF82" s="848"/>
      <c r="AG82" s="848"/>
      <c r="AH82" s="848"/>
      <c r="AI82" s="848"/>
      <c r="AJ82" s="848"/>
      <c r="AK82" s="848"/>
      <c r="AL82" s="848"/>
      <c r="AM82" s="848"/>
      <c r="AN82" s="848"/>
      <c r="AO82" s="848"/>
      <c r="AP82" s="848"/>
      <c r="AQ82" s="849"/>
      <c r="AR82" s="849"/>
      <c r="AS82" s="849"/>
      <c r="AT82" s="849"/>
      <c r="AU82" s="849"/>
      <c r="AV82" s="849"/>
      <c r="AW82" s="849"/>
      <c r="AX82" s="849"/>
      <c r="AY82" s="849"/>
      <c r="AZ82" s="849"/>
      <c r="BA82" s="849"/>
      <c r="BB82" s="849"/>
      <c r="BC82" s="849"/>
      <c r="BD82" s="849"/>
      <c r="BE82" s="849"/>
      <c r="BF82" s="849"/>
      <c r="BG82" s="849"/>
      <c r="BH82" s="849"/>
      <c r="BI82" s="849"/>
      <c r="BJ82" s="849"/>
      <c r="BK82" s="849"/>
      <c r="BL82" s="849"/>
      <c r="BM82" s="849"/>
      <c r="BN82" s="849"/>
      <c r="BO82" s="849"/>
      <c r="BP82" s="849"/>
      <c r="BQ82" s="849"/>
      <c r="BR82" s="849"/>
      <c r="BS82" s="849"/>
      <c r="BT82" s="849"/>
    </row>
    <row r="83" spans="1:72" s="850" customFormat="1" ht="15" customHeight="1">
      <c r="A83" s="854" t="str">
        <f>'2.Cost Allocation'!A83</f>
        <v>Playing fields: 4 Nr</v>
      </c>
      <c r="B83" s="843" t="s">
        <v>247</v>
      </c>
      <c r="C83" s="855" t="s">
        <v>247</v>
      </c>
      <c r="D83" s="844" t="s">
        <v>247</v>
      </c>
      <c r="E83" s="843" t="s">
        <v>247</v>
      </c>
      <c r="F83" s="855" t="s">
        <v>247</v>
      </c>
      <c r="G83" s="844" t="s">
        <v>247</v>
      </c>
      <c r="H83" s="843" t="s">
        <v>247</v>
      </c>
      <c r="I83" s="855" t="s">
        <v>247</v>
      </c>
      <c r="J83" s="844" t="s">
        <v>247</v>
      </c>
      <c r="K83" s="843" t="s">
        <v>247</v>
      </c>
      <c r="L83" s="855" t="s">
        <v>247</v>
      </c>
      <c r="M83" s="844" t="s">
        <v>247</v>
      </c>
      <c r="N83" s="838">
        <f>'2.Cost Allocation'!$F$83</f>
        <v>660000</v>
      </c>
      <c r="O83" s="851">
        <v>0</v>
      </c>
      <c r="P83" s="842">
        <f>N83-O83</f>
        <v>660000</v>
      </c>
      <c r="Q83" s="843" t="s">
        <v>247</v>
      </c>
      <c r="R83" s="855" t="s">
        <v>247</v>
      </c>
      <c r="S83" s="844" t="s">
        <v>247</v>
      </c>
      <c r="T83" s="856"/>
      <c r="U83" s="866"/>
      <c r="V83" s="848"/>
      <c r="W83" s="848"/>
      <c r="X83" s="848"/>
      <c r="Y83" s="848"/>
      <c r="Z83" s="848"/>
      <c r="AA83" s="848"/>
      <c r="AB83" s="848"/>
      <c r="AC83" s="848"/>
      <c r="AD83" s="848"/>
      <c r="AE83" s="848"/>
      <c r="AF83" s="848"/>
      <c r="AG83" s="848"/>
      <c r="AH83" s="848"/>
      <c r="AI83" s="848"/>
      <c r="AJ83" s="848"/>
      <c r="AK83" s="848"/>
      <c r="AL83" s="848"/>
      <c r="AM83" s="848"/>
      <c r="AN83" s="848"/>
      <c r="AO83" s="848"/>
      <c r="AP83" s="848"/>
      <c r="AQ83" s="849"/>
      <c r="AR83" s="849"/>
      <c r="AS83" s="849"/>
      <c r="AT83" s="849"/>
      <c r="AU83" s="849"/>
      <c r="AV83" s="849"/>
      <c r="AW83" s="849"/>
      <c r="AX83" s="849"/>
      <c r="AY83" s="849"/>
      <c r="AZ83" s="849"/>
      <c r="BA83" s="849"/>
      <c r="BB83" s="849"/>
      <c r="BC83" s="849"/>
      <c r="BD83" s="849"/>
      <c r="BE83" s="849"/>
      <c r="BF83" s="849"/>
      <c r="BG83" s="849"/>
      <c r="BH83" s="849"/>
      <c r="BI83" s="849"/>
      <c r="BJ83" s="849"/>
      <c r="BK83" s="849"/>
      <c r="BL83" s="849"/>
      <c r="BM83" s="849"/>
      <c r="BN83" s="849"/>
      <c r="BO83" s="849"/>
      <c r="BP83" s="849"/>
      <c r="BQ83" s="849"/>
      <c r="BR83" s="849"/>
      <c r="BS83" s="849"/>
      <c r="BT83" s="849"/>
    </row>
    <row r="84" spans="1:72" ht="15" customHeight="1">
      <c r="A84" s="96" t="str">
        <f>'2.Cost Allocation'!A84</f>
        <v>A96 Duelling</v>
      </c>
      <c r="B84" s="100"/>
      <c r="C84" s="10"/>
      <c r="D84" s="106"/>
      <c r="E84" s="109"/>
      <c r="F84" s="6"/>
      <c r="G84" s="54"/>
      <c r="H84" s="109"/>
      <c r="I84" s="6"/>
      <c r="J84" s="110"/>
      <c r="K84" s="109"/>
      <c r="L84" s="6"/>
      <c r="M84" s="110"/>
      <c r="N84" s="115"/>
      <c r="O84" s="7"/>
      <c r="P84" s="116"/>
      <c r="Q84" s="109"/>
      <c r="R84" s="6"/>
      <c r="S84" s="110"/>
      <c r="T84" s="121"/>
      <c r="U84" s="29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</row>
    <row r="85" spans="1:72" ht="15" customHeight="1">
      <c r="A85" s="94" t="str">
        <f>'2.Cost Allocation'!A85</f>
        <v>Dual carriageway</v>
      </c>
      <c r="B85" s="99">
        <f>'2.Cost Allocation'!$B$85</f>
        <v>4048000</v>
      </c>
      <c r="C85" s="80">
        <f>B85</f>
        <v>4048000</v>
      </c>
      <c r="D85" s="104">
        <f>B85-C85</f>
        <v>0</v>
      </c>
      <c r="E85" s="127">
        <v>0</v>
      </c>
      <c r="F85" s="129">
        <v>0</v>
      </c>
      <c r="G85" s="128">
        <v>0</v>
      </c>
      <c r="H85" s="127" t="s">
        <v>247</v>
      </c>
      <c r="I85" s="129">
        <v>0</v>
      </c>
      <c r="J85" s="128">
        <v>0</v>
      </c>
      <c r="K85" s="127">
        <v>0</v>
      </c>
      <c r="L85" s="129">
        <v>0</v>
      </c>
      <c r="M85" s="128">
        <v>0</v>
      </c>
      <c r="N85" s="99">
        <f>'2.Cost Allocation'!$F$85</f>
        <v>6072000</v>
      </c>
      <c r="O85" s="88">
        <v>0</v>
      </c>
      <c r="P85" s="104">
        <f>N85-O85</f>
        <v>6072000</v>
      </c>
      <c r="Q85" s="127">
        <v>0</v>
      </c>
      <c r="R85" s="129">
        <v>0</v>
      </c>
      <c r="S85" s="128">
        <v>0</v>
      </c>
      <c r="T85" s="122"/>
      <c r="U85" s="667" t="s">
        <v>280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</row>
    <row r="86" spans="1:72" ht="15" customHeight="1">
      <c r="A86" s="95" t="str">
        <f>'2.Cost Allocation'!A86</f>
        <v>Structural Landscaping</v>
      </c>
      <c r="B86" s="107"/>
      <c r="C86" s="130"/>
      <c r="D86" s="108"/>
      <c r="E86" s="111"/>
      <c r="F86" s="81"/>
      <c r="G86" s="114"/>
      <c r="H86" s="111"/>
      <c r="I86" s="81"/>
      <c r="J86" s="112"/>
      <c r="K86" s="111"/>
      <c r="L86" s="81"/>
      <c r="M86" s="112"/>
      <c r="N86" s="99"/>
      <c r="O86" s="88"/>
      <c r="P86" s="104"/>
      <c r="Q86" s="111"/>
      <c r="R86" s="81"/>
      <c r="S86" s="112"/>
      <c r="T86" s="122"/>
      <c r="U86" s="125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</row>
    <row r="87" spans="1:72" s="850" customFormat="1" ht="15" customHeight="1">
      <c r="A87" s="854" t="str">
        <f>'2.Cost Allocation'!A87</f>
        <v>35 hectares</v>
      </c>
      <c r="B87" s="843" t="s">
        <v>247</v>
      </c>
      <c r="C87" s="855" t="s">
        <v>247</v>
      </c>
      <c r="D87" s="844" t="s">
        <v>247</v>
      </c>
      <c r="E87" s="843" t="s">
        <v>247</v>
      </c>
      <c r="F87" s="855" t="s">
        <v>247</v>
      </c>
      <c r="G87" s="844" t="s">
        <v>247</v>
      </c>
      <c r="H87" s="843" t="s">
        <v>247</v>
      </c>
      <c r="I87" s="855" t="s">
        <v>247</v>
      </c>
      <c r="J87" s="844" t="s">
        <v>247</v>
      </c>
      <c r="K87" s="843" t="s">
        <v>247</v>
      </c>
      <c r="L87" s="855" t="s">
        <v>247</v>
      </c>
      <c r="M87" s="844" t="s">
        <v>247</v>
      </c>
      <c r="N87" s="838">
        <f>'2.Cost Allocation'!$F$87</f>
        <v>1925000</v>
      </c>
      <c r="O87" s="851">
        <v>0</v>
      </c>
      <c r="P87" s="842">
        <f>N87-O87</f>
        <v>1925000</v>
      </c>
      <c r="Q87" s="843" t="s">
        <v>247</v>
      </c>
      <c r="R87" s="855" t="s">
        <v>247</v>
      </c>
      <c r="S87" s="844" t="s">
        <v>247</v>
      </c>
      <c r="T87" s="856"/>
      <c r="U87" s="866"/>
      <c r="V87" s="848"/>
      <c r="W87" s="848"/>
      <c r="X87" s="848"/>
      <c r="Y87" s="848"/>
      <c r="Z87" s="848"/>
      <c r="AA87" s="848"/>
      <c r="AB87" s="848"/>
      <c r="AC87" s="848"/>
      <c r="AD87" s="848"/>
      <c r="AE87" s="848"/>
      <c r="AF87" s="848"/>
      <c r="AG87" s="848"/>
      <c r="AH87" s="848"/>
      <c r="AI87" s="848"/>
      <c r="AJ87" s="848"/>
      <c r="AK87" s="848"/>
      <c r="AL87" s="848"/>
      <c r="AM87" s="848"/>
      <c r="AN87" s="848"/>
      <c r="AO87" s="848"/>
      <c r="AP87" s="848"/>
      <c r="AQ87" s="849"/>
      <c r="AR87" s="849"/>
      <c r="AS87" s="849"/>
      <c r="AT87" s="849"/>
      <c r="AU87" s="849"/>
      <c r="AV87" s="849"/>
      <c r="AW87" s="849"/>
      <c r="AX87" s="849"/>
      <c r="AY87" s="849"/>
      <c r="AZ87" s="849"/>
      <c r="BA87" s="849"/>
      <c r="BB87" s="849"/>
      <c r="BC87" s="849"/>
      <c r="BD87" s="849"/>
      <c r="BE87" s="849"/>
      <c r="BF87" s="849"/>
      <c r="BG87" s="849"/>
      <c r="BH87" s="849"/>
      <c r="BI87" s="849"/>
      <c r="BJ87" s="849"/>
      <c r="BK87" s="849"/>
      <c r="BL87" s="849"/>
      <c r="BM87" s="849"/>
      <c r="BN87" s="849"/>
      <c r="BO87" s="849"/>
      <c r="BP87" s="849"/>
      <c r="BQ87" s="849"/>
      <c r="BR87" s="849"/>
      <c r="BS87" s="849"/>
      <c r="BT87" s="849"/>
    </row>
    <row r="88" spans="1:72" ht="15" customHeight="1">
      <c r="A88" s="95" t="str">
        <f>'2.Cost Allocation'!A88</f>
        <v>Health Building</v>
      </c>
      <c r="B88" s="107"/>
      <c r="C88" s="130"/>
      <c r="D88" s="108"/>
      <c r="E88" s="111"/>
      <c r="F88" s="81"/>
      <c r="G88" s="114"/>
      <c r="H88" s="111"/>
      <c r="I88" s="81"/>
      <c r="J88" s="112"/>
      <c r="K88" s="111"/>
      <c r="L88" s="81"/>
      <c r="M88" s="112"/>
      <c r="N88" s="99"/>
      <c r="O88" s="88"/>
      <c r="P88" s="104"/>
      <c r="Q88" s="111"/>
      <c r="R88" s="81"/>
      <c r="S88" s="112"/>
      <c r="T88" s="122"/>
      <c r="U88" s="125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</row>
    <row r="89" spans="1:72" s="15" customFormat="1" ht="15" customHeight="1">
      <c r="A89" s="94" t="str">
        <f>'2.Cost Allocation'!A89</f>
        <v>Health Centre: 1,500m2</v>
      </c>
      <c r="B89" s="127" t="s">
        <v>247</v>
      </c>
      <c r="C89" s="129" t="s">
        <v>247</v>
      </c>
      <c r="D89" s="128" t="s">
        <v>247</v>
      </c>
      <c r="E89" s="127" t="s">
        <v>247</v>
      </c>
      <c r="F89" s="129" t="s">
        <v>247</v>
      </c>
      <c r="G89" s="128" t="s">
        <v>247</v>
      </c>
      <c r="H89" s="127" t="s">
        <v>247</v>
      </c>
      <c r="I89" s="129" t="s">
        <v>247</v>
      </c>
      <c r="J89" s="128" t="s">
        <v>247</v>
      </c>
      <c r="K89" s="127" t="s">
        <v>247</v>
      </c>
      <c r="L89" s="129" t="s">
        <v>247</v>
      </c>
      <c r="M89" s="128" t="s">
        <v>247</v>
      </c>
      <c r="N89" s="99">
        <f>'2.Cost Allocation'!$F$89</f>
        <v>2475000</v>
      </c>
      <c r="O89" s="88">
        <v>0</v>
      </c>
      <c r="P89" s="104">
        <f>N89-O89</f>
        <v>2475000</v>
      </c>
      <c r="Q89" s="127" t="s">
        <v>247</v>
      </c>
      <c r="R89" s="129" t="s">
        <v>247</v>
      </c>
      <c r="S89" s="128" t="s">
        <v>247</v>
      </c>
      <c r="T89" s="1069"/>
      <c r="U89" s="125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</row>
    <row r="90" spans="1:72" ht="15" customHeight="1">
      <c r="A90" s="95" t="str">
        <f>'2.Cost Allocation'!A90</f>
        <v>Community Leisure / Pool</v>
      </c>
      <c r="B90" s="107"/>
      <c r="C90" s="130"/>
      <c r="D90" s="108"/>
      <c r="E90" s="111"/>
      <c r="F90" s="81"/>
      <c r="G90" s="114"/>
      <c r="H90" s="111"/>
      <c r="I90" s="81"/>
      <c r="J90" s="112"/>
      <c r="K90" s="111"/>
      <c r="L90" s="81"/>
      <c r="M90" s="112"/>
      <c r="N90" s="99"/>
      <c r="O90" s="88"/>
      <c r="P90" s="104"/>
      <c r="Q90" s="111"/>
      <c r="R90" s="81"/>
      <c r="S90" s="112"/>
      <c r="T90" s="122"/>
      <c r="U90" s="125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</row>
    <row r="91" spans="1:72" ht="15" customHeight="1">
      <c r="A91" s="94" t="str">
        <f>'2.Cost Allocation'!A91</f>
        <v>Recreation Centre: 1,000m2 [Privately funded]</v>
      </c>
      <c r="B91" s="127" t="s">
        <v>247</v>
      </c>
      <c r="C91" s="129" t="s">
        <v>247</v>
      </c>
      <c r="D91" s="128" t="s">
        <v>247</v>
      </c>
      <c r="E91" s="127" t="s">
        <v>247</v>
      </c>
      <c r="F91" s="129" t="s">
        <v>247</v>
      </c>
      <c r="G91" s="128" t="s">
        <v>247</v>
      </c>
      <c r="H91" s="127" t="s">
        <v>247</v>
      </c>
      <c r="I91" s="129" t="s">
        <v>247</v>
      </c>
      <c r="J91" s="128" t="s">
        <v>247</v>
      </c>
      <c r="K91" s="127" t="s">
        <v>247</v>
      </c>
      <c r="L91" s="129" t="s">
        <v>247</v>
      </c>
      <c r="M91" s="1070" t="s">
        <v>247</v>
      </c>
      <c r="N91" s="88">
        <f>'2.Cost Allocation'!$F$91</f>
        <v>0</v>
      </c>
      <c r="O91" s="88">
        <v>0</v>
      </c>
      <c r="P91" s="104">
        <f>N91-O91</f>
        <v>0</v>
      </c>
      <c r="Q91" s="127" t="s">
        <v>247</v>
      </c>
      <c r="R91" s="129" t="s">
        <v>247</v>
      </c>
      <c r="S91" s="128" t="s">
        <v>247</v>
      </c>
      <c r="T91" s="122"/>
      <c r="U91" s="125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</row>
    <row r="92" spans="1:72" ht="15" customHeight="1">
      <c r="A92" s="95" t="str">
        <f>'2.Cost Allocation'!A92</f>
        <v>Train Station</v>
      </c>
      <c r="B92" s="107"/>
      <c r="C92" s="130"/>
      <c r="D92" s="108"/>
      <c r="E92" s="111"/>
      <c r="F92" s="81"/>
      <c r="G92" s="114"/>
      <c r="H92" s="111"/>
      <c r="I92" s="81"/>
      <c r="J92" s="112"/>
      <c r="K92" s="111"/>
      <c r="L92" s="81"/>
      <c r="M92" s="112"/>
      <c r="N92" s="99"/>
      <c r="O92" s="88"/>
      <c r="P92" s="104"/>
      <c r="Q92" s="111"/>
      <c r="R92" s="81"/>
      <c r="S92" s="112"/>
      <c r="T92" s="122"/>
      <c r="U92" s="125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</row>
    <row r="93" spans="1:72" s="850" customFormat="1" ht="15" customHeight="1">
      <c r="A93" s="854" t="str">
        <f>'2.Cost Allocation'!A93</f>
        <v>Station: 1,000m2</v>
      </c>
      <c r="B93" s="843" t="s">
        <v>247</v>
      </c>
      <c r="C93" s="855" t="s">
        <v>247</v>
      </c>
      <c r="D93" s="844">
        <v>0</v>
      </c>
      <c r="E93" s="843" t="s">
        <v>247</v>
      </c>
      <c r="F93" s="855" t="s">
        <v>247</v>
      </c>
      <c r="G93" s="844">
        <v>0</v>
      </c>
      <c r="H93" s="843" t="s">
        <v>247</v>
      </c>
      <c r="I93" s="855" t="s">
        <v>247</v>
      </c>
      <c r="J93" s="844">
        <v>0</v>
      </c>
      <c r="K93" s="843" t="s">
        <v>247</v>
      </c>
      <c r="L93" s="855" t="s">
        <v>247</v>
      </c>
      <c r="M93" s="844">
        <v>0</v>
      </c>
      <c r="N93" s="838">
        <f>'2.Cost Allocation'!$F$93</f>
        <v>2200000</v>
      </c>
      <c r="O93" s="851">
        <v>0</v>
      </c>
      <c r="P93" s="842">
        <f>N93-O93</f>
        <v>2200000</v>
      </c>
      <c r="Q93" s="843" t="s">
        <v>247</v>
      </c>
      <c r="R93" s="855" t="s">
        <v>247</v>
      </c>
      <c r="S93" s="844">
        <v>0</v>
      </c>
      <c r="T93" s="856"/>
      <c r="U93" s="866"/>
      <c r="V93" s="848"/>
      <c r="W93" s="848"/>
      <c r="X93" s="848"/>
      <c r="Y93" s="848"/>
      <c r="Z93" s="848"/>
      <c r="AA93" s="848"/>
      <c r="AB93" s="848"/>
      <c r="AC93" s="848"/>
      <c r="AD93" s="848"/>
      <c r="AE93" s="848"/>
      <c r="AF93" s="848"/>
      <c r="AG93" s="848"/>
      <c r="AH93" s="848"/>
      <c r="AI93" s="848"/>
      <c r="AJ93" s="848"/>
      <c r="AK93" s="848"/>
      <c r="AL93" s="848"/>
      <c r="AM93" s="848"/>
      <c r="AN93" s="848"/>
      <c r="AO93" s="848"/>
      <c r="AP93" s="848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849"/>
      <c r="BL93" s="849"/>
      <c r="BM93" s="849"/>
      <c r="BN93" s="849"/>
      <c r="BO93" s="849"/>
      <c r="BP93" s="849"/>
      <c r="BQ93" s="849"/>
      <c r="BR93" s="849"/>
      <c r="BS93" s="849"/>
      <c r="BT93" s="849"/>
    </row>
    <row r="94" spans="1:72" ht="15" customHeight="1">
      <c r="A94" s="95" t="str">
        <f>'2.Cost Allocation'!A94</f>
        <v>Civic</v>
      </c>
      <c r="B94" s="107"/>
      <c r="C94" s="130"/>
      <c r="D94" s="108"/>
      <c r="E94" s="111"/>
      <c r="F94" s="81"/>
      <c r="G94" s="114"/>
      <c r="H94" s="111"/>
      <c r="I94" s="81"/>
      <c r="J94" s="112"/>
      <c r="K94" s="111"/>
      <c r="L94" s="81"/>
      <c r="M94" s="112"/>
      <c r="N94" s="99"/>
      <c r="O94" s="88"/>
      <c r="P94" s="104"/>
      <c r="Q94" s="111"/>
      <c r="R94" s="81"/>
      <c r="S94" s="112"/>
      <c r="T94" s="122"/>
      <c r="U94" s="125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</row>
    <row r="95" spans="1:72" ht="15" customHeight="1">
      <c r="A95" s="94" t="str">
        <f>'2.Cost Allocation'!A95</f>
        <v>Town Hall / Ecclesiastical: 1,200m2</v>
      </c>
      <c r="B95" s="127" t="s">
        <v>247</v>
      </c>
      <c r="C95" s="129" t="s">
        <v>247</v>
      </c>
      <c r="D95" s="128" t="s">
        <v>247</v>
      </c>
      <c r="E95" s="127" t="s">
        <v>247</v>
      </c>
      <c r="F95" s="129" t="s">
        <v>247</v>
      </c>
      <c r="G95" s="128" t="s">
        <v>247</v>
      </c>
      <c r="H95" s="127" t="s">
        <v>247</v>
      </c>
      <c r="I95" s="129" t="s">
        <v>247</v>
      </c>
      <c r="J95" s="128" t="s">
        <v>247</v>
      </c>
      <c r="K95" s="127" t="s">
        <v>247</v>
      </c>
      <c r="L95" s="129" t="s">
        <v>247</v>
      </c>
      <c r="M95" s="128" t="s">
        <v>247</v>
      </c>
      <c r="N95" s="99">
        <f>'2.Cost Allocation'!$F$95</f>
        <v>0</v>
      </c>
      <c r="O95" s="88">
        <v>0</v>
      </c>
      <c r="P95" s="104">
        <f>N95-O95</f>
        <v>0</v>
      </c>
      <c r="Q95" s="127" t="s">
        <v>247</v>
      </c>
      <c r="R95" s="129" t="s">
        <v>247</v>
      </c>
      <c r="S95" s="128" t="s">
        <v>247</v>
      </c>
      <c r="T95" s="122"/>
      <c r="U95" s="126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</row>
    <row r="96" spans="1:72" ht="15" customHeight="1" thickBot="1">
      <c r="A96" s="226" t="str">
        <f>'2.Cost Allocation'!A96</f>
        <v>Police/ Ambulance/ Fire: 1,500m2</v>
      </c>
      <c r="B96" s="205" t="s">
        <v>247</v>
      </c>
      <c r="C96" s="227" t="s">
        <v>247</v>
      </c>
      <c r="D96" s="206" t="s">
        <v>247</v>
      </c>
      <c r="E96" s="205" t="s">
        <v>247</v>
      </c>
      <c r="F96" s="227" t="s">
        <v>247</v>
      </c>
      <c r="G96" s="206" t="s">
        <v>247</v>
      </c>
      <c r="H96" s="205" t="s">
        <v>247</v>
      </c>
      <c r="I96" s="227" t="s">
        <v>247</v>
      </c>
      <c r="J96" s="206" t="s">
        <v>247</v>
      </c>
      <c r="K96" s="205" t="s">
        <v>247</v>
      </c>
      <c r="L96" s="227" t="s">
        <v>247</v>
      </c>
      <c r="M96" s="206" t="s">
        <v>247</v>
      </c>
      <c r="N96" s="204">
        <f>'2.Cost Allocation'!$F$96</f>
        <v>3300000</v>
      </c>
      <c r="O96" s="162">
        <v>0</v>
      </c>
      <c r="P96" s="229">
        <f>N96-O96</f>
        <v>3300000</v>
      </c>
      <c r="Q96" s="205" t="s">
        <v>247</v>
      </c>
      <c r="R96" s="227" t="s">
        <v>247</v>
      </c>
      <c r="S96" s="206" t="s">
        <v>247</v>
      </c>
      <c r="T96" s="228"/>
      <c r="U96" s="230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</row>
    <row r="97" spans="1:72" s="144" customFormat="1" ht="15" customHeight="1">
      <c r="A97" s="207" t="str">
        <f>'2.Cost Allocation'!A97</f>
        <v>Totals</v>
      </c>
      <c r="B97" s="208">
        <f>SUM(B77:B96)</f>
        <v>4048000</v>
      </c>
      <c r="C97" s="209">
        <f>SUM(C77:C96)</f>
        <v>4048000</v>
      </c>
      <c r="D97" s="211">
        <f>SUM(D77:D96)</f>
        <v>0</v>
      </c>
      <c r="E97" s="208">
        <f>SUM(E77:E96)</f>
        <v>0</v>
      </c>
      <c r="F97" s="211"/>
      <c r="G97" s="393"/>
      <c r="H97" s="399">
        <f aca="true" t="shared" si="8" ref="H97:S97">SUM(H77:H96)</f>
        <v>0</v>
      </c>
      <c r="I97" s="209">
        <f t="shared" si="8"/>
        <v>0</v>
      </c>
      <c r="J97" s="211">
        <f t="shared" si="8"/>
        <v>0</v>
      </c>
      <c r="K97" s="399">
        <f>SUM(K77:K96)</f>
        <v>0</v>
      </c>
      <c r="L97" s="209">
        <f>SUM(L77:L96)</f>
        <v>0</v>
      </c>
      <c r="M97" s="211">
        <f>SUM(M77:M96)</f>
        <v>0</v>
      </c>
      <c r="N97" s="208">
        <f t="shared" si="8"/>
        <v>57992000</v>
      </c>
      <c r="O97" s="209">
        <f t="shared" si="8"/>
        <v>7326000</v>
      </c>
      <c r="P97" s="211">
        <f t="shared" si="8"/>
        <v>50666000</v>
      </c>
      <c r="Q97" s="399">
        <f t="shared" si="8"/>
        <v>0</v>
      </c>
      <c r="R97" s="209">
        <f t="shared" si="8"/>
        <v>0</v>
      </c>
      <c r="S97" s="211">
        <f t="shared" si="8"/>
        <v>0</v>
      </c>
      <c r="T97" s="212">
        <f>B97+E97+H97+K97+N97+Q97</f>
        <v>62040000</v>
      </c>
      <c r="U97" s="38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</row>
    <row r="98" spans="1:72" s="144" customFormat="1" ht="15" customHeight="1" thickBot="1">
      <c r="A98" s="381" t="str">
        <f>'2.Cost Allocation'!A98</f>
        <v>Totals excluding specific contributions allocated</v>
      </c>
      <c r="B98" s="378">
        <f aca="true" t="shared" si="9" ref="B98:S98">B97</f>
        <v>4048000</v>
      </c>
      <c r="C98" s="313">
        <f t="shared" si="9"/>
        <v>4048000</v>
      </c>
      <c r="D98" s="313">
        <f t="shared" si="9"/>
        <v>0</v>
      </c>
      <c r="E98" s="378">
        <f t="shared" si="9"/>
        <v>0</v>
      </c>
      <c r="F98" s="313">
        <f t="shared" si="9"/>
        <v>0</v>
      </c>
      <c r="G98" s="313">
        <f t="shared" si="9"/>
        <v>0</v>
      </c>
      <c r="H98" s="313">
        <f t="shared" si="9"/>
        <v>0</v>
      </c>
      <c r="I98" s="313">
        <f t="shared" si="9"/>
        <v>0</v>
      </c>
      <c r="J98" s="313">
        <f t="shared" si="9"/>
        <v>0</v>
      </c>
      <c r="K98" s="313">
        <f t="shared" si="9"/>
        <v>0</v>
      </c>
      <c r="L98" s="313">
        <f t="shared" si="9"/>
        <v>0</v>
      </c>
      <c r="M98" s="313">
        <f t="shared" si="9"/>
        <v>0</v>
      </c>
      <c r="N98" s="313">
        <f t="shared" si="9"/>
        <v>57992000</v>
      </c>
      <c r="O98" s="313">
        <f t="shared" si="9"/>
        <v>7326000</v>
      </c>
      <c r="P98" s="313">
        <f t="shared" si="9"/>
        <v>50666000</v>
      </c>
      <c r="Q98" s="313">
        <f t="shared" si="9"/>
        <v>0</v>
      </c>
      <c r="R98" s="313">
        <f t="shared" si="9"/>
        <v>0</v>
      </c>
      <c r="S98" s="313">
        <f t="shared" si="9"/>
        <v>0</v>
      </c>
      <c r="T98" s="398">
        <f>B98+E98+H98+K98+N98+Q98</f>
        <v>62040000</v>
      </c>
      <c r="U98" s="379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</row>
    <row r="99" spans="1:72" ht="15" customHeight="1" thickBot="1">
      <c r="A99" s="147"/>
      <c r="B99" s="148"/>
      <c r="C99" s="148"/>
      <c r="D99" s="148"/>
      <c r="E99" s="149"/>
      <c r="F99" s="149"/>
      <c r="G99" s="149"/>
      <c r="H99" s="149"/>
      <c r="I99" s="149"/>
      <c r="J99" s="149"/>
      <c r="K99" s="152"/>
      <c r="L99" s="152"/>
      <c r="M99" s="152"/>
      <c r="N99" s="150"/>
      <c r="O99" s="150"/>
      <c r="P99" s="150"/>
      <c r="Q99" s="151"/>
      <c r="R99" s="151"/>
      <c r="S99" s="151"/>
      <c r="T99" s="151"/>
      <c r="U99" s="153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</row>
    <row r="100" spans="1:72" ht="15" customHeight="1" thickBot="1">
      <c r="A100" s="373" t="str">
        <f>'2.Cost Allocation'!A100</f>
        <v>WHITENESS FRAMEWORK PLAN</v>
      </c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7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</row>
    <row r="101" spans="1:72" ht="15" customHeight="1">
      <c r="A101" s="698" t="str">
        <f>'2.Cost Allocation'!A101</f>
        <v>Schools</v>
      </c>
      <c r="B101" s="12"/>
      <c r="C101" s="12"/>
      <c r="D101" s="106"/>
      <c r="E101" s="109"/>
      <c r="F101" s="6"/>
      <c r="G101" s="54"/>
      <c r="H101" s="109"/>
      <c r="I101" s="6"/>
      <c r="J101" s="110"/>
      <c r="K101" s="103"/>
      <c r="L101" s="14"/>
      <c r="M101" s="105"/>
      <c r="N101" s="103"/>
      <c r="O101" s="14"/>
      <c r="P101" s="105"/>
      <c r="Q101" s="141"/>
      <c r="R101" s="13"/>
      <c r="S101" s="117"/>
      <c r="T101" s="121"/>
      <c r="U101" s="167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</row>
    <row r="102" spans="1:72" ht="15" customHeight="1">
      <c r="A102" s="699" t="str">
        <f>'2.Cost Allocation'!A102</f>
        <v>1 Nr 250 Pupil Primary Schools</v>
      </c>
      <c r="B102" s="132" t="s">
        <v>247</v>
      </c>
      <c r="C102" s="132" t="s">
        <v>247</v>
      </c>
      <c r="D102" s="132" t="s">
        <v>247</v>
      </c>
      <c r="E102" s="131" t="s">
        <v>247</v>
      </c>
      <c r="F102" s="132" t="s">
        <v>247</v>
      </c>
      <c r="G102" s="132" t="s">
        <v>247</v>
      </c>
      <c r="H102" s="131" t="s">
        <v>247</v>
      </c>
      <c r="I102" s="132" t="s">
        <v>247</v>
      </c>
      <c r="J102" s="132" t="s">
        <v>247</v>
      </c>
      <c r="K102" s="131" t="s">
        <v>247</v>
      </c>
      <c r="L102" s="132" t="s">
        <v>247</v>
      </c>
      <c r="M102" s="132" t="s">
        <v>247</v>
      </c>
      <c r="N102" s="131" t="s">
        <v>247</v>
      </c>
      <c r="O102" s="132" t="s">
        <v>247</v>
      </c>
      <c r="P102" s="132" t="s">
        <v>247</v>
      </c>
      <c r="Q102" s="142">
        <f>'2.Cost Allocation'!$G$102</f>
        <v>6930000</v>
      </c>
      <c r="R102" s="88">
        <f>Q102*0.2</f>
        <v>1386000</v>
      </c>
      <c r="S102" s="118">
        <f>Q102-R102</f>
        <v>5544000</v>
      </c>
      <c r="T102" s="122"/>
      <c r="U102" s="126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</row>
    <row r="103" spans="1:60" ht="15" customHeight="1">
      <c r="A103" s="699" t="s">
        <v>101</v>
      </c>
      <c r="B103" s="132" t="s">
        <v>247</v>
      </c>
      <c r="C103" s="132" t="s">
        <v>247</v>
      </c>
      <c r="D103" s="132" t="s">
        <v>247</v>
      </c>
      <c r="E103" s="131" t="s">
        <v>247</v>
      </c>
      <c r="F103" s="132" t="s">
        <v>247</v>
      </c>
      <c r="G103" s="132" t="s">
        <v>247</v>
      </c>
      <c r="H103" s="131" t="s">
        <v>247</v>
      </c>
      <c r="I103" s="132" t="s">
        <v>247</v>
      </c>
      <c r="J103" s="132" t="s">
        <v>247</v>
      </c>
      <c r="K103" s="131" t="s">
        <v>247</v>
      </c>
      <c r="L103" s="132" t="s">
        <v>247</v>
      </c>
      <c r="M103" s="132" t="s">
        <v>247</v>
      </c>
      <c r="N103" s="131" t="s">
        <v>247</v>
      </c>
      <c r="O103" s="132" t="s">
        <v>247</v>
      </c>
      <c r="P103" s="736" t="s">
        <v>247</v>
      </c>
      <c r="Q103" s="829">
        <f>'2.Cost Allocation'!$G$103</f>
        <v>10560000</v>
      </c>
      <c r="R103" s="88">
        <f>Q103*0.2</f>
        <v>2112000</v>
      </c>
      <c r="S103" s="118">
        <f>Q103-R103</f>
        <v>8448000</v>
      </c>
      <c r="T103" s="122"/>
      <c r="U103" s="628"/>
      <c r="V103" s="52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</row>
    <row r="104" spans="1:72" ht="15" customHeight="1">
      <c r="A104" s="154" t="str">
        <f>'2.Cost Allocation'!A104</f>
        <v>Green Space</v>
      </c>
      <c r="B104" s="89"/>
      <c r="C104" s="89"/>
      <c r="D104" s="108"/>
      <c r="E104" s="107"/>
      <c r="F104" s="89"/>
      <c r="G104" s="108"/>
      <c r="H104" s="107"/>
      <c r="I104" s="89"/>
      <c r="J104" s="108"/>
      <c r="K104" s="107"/>
      <c r="L104" s="89"/>
      <c r="M104" s="108"/>
      <c r="N104" s="107"/>
      <c r="O104" s="89"/>
      <c r="P104" s="108"/>
      <c r="Q104" s="142"/>
      <c r="R104" s="87"/>
      <c r="S104" s="118"/>
      <c r="T104" s="122"/>
      <c r="U104" s="125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</row>
    <row r="105" spans="1:72" s="850" customFormat="1" ht="15" customHeight="1">
      <c r="A105" s="1084" t="str">
        <f>'2.Cost Allocation'!A105</f>
        <v>Park 2 hectares</v>
      </c>
      <c r="B105" s="1085" t="s">
        <v>247</v>
      </c>
      <c r="C105" s="1085" t="s">
        <v>247</v>
      </c>
      <c r="D105" s="1085" t="s">
        <v>247</v>
      </c>
      <c r="E105" s="1086" t="s">
        <v>247</v>
      </c>
      <c r="F105" s="1085" t="s">
        <v>247</v>
      </c>
      <c r="G105" s="1085" t="s">
        <v>247</v>
      </c>
      <c r="H105" s="1086" t="s">
        <v>247</v>
      </c>
      <c r="I105" s="1085" t="s">
        <v>247</v>
      </c>
      <c r="J105" s="1085" t="s">
        <v>247</v>
      </c>
      <c r="K105" s="1086" t="s">
        <v>247</v>
      </c>
      <c r="L105" s="1085" t="s">
        <v>247</v>
      </c>
      <c r="M105" s="1085" t="s">
        <v>247</v>
      </c>
      <c r="N105" s="1086" t="s">
        <v>247</v>
      </c>
      <c r="O105" s="1085" t="s">
        <v>247</v>
      </c>
      <c r="P105" s="1085" t="s">
        <v>247</v>
      </c>
      <c r="Q105" s="1087">
        <f>'2.Cost Allocation'!$G$105</f>
        <v>1100000</v>
      </c>
      <c r="R105" s="1088">
        <v>0</v>
      </c>
      <c r="S105" s="1089">
        <f>Q105-R105</f>
        <v>1100000</v>
      </c>
      <c r="T105" s="856"/>
      <c r="U105" s="866"/>
      <c r="V105" s="848"/>
      <c r="W105" s="848"/>
      <c r="X105" s="848"/>
      <c r="Y105" s="848"/>
      <c r="Z105" s="848"/>
      <c r="AA105" s="848"/>
      <c r="AB105" s="848"/>
      <c r="AC105" s="848"/>
      <c r="AD105" s="848"/>
      <c r="AE105" s="848"/>
      <c r="AF105" s="848"/>
      <c r="AG105" s="848"/>
      <c r="AH105" s="848"/>
      <c r="AI105" s="848"/>
      <c r="AJ105" s="848"/>
      <c r="AK105" s="848"/>
      <c r="AL105" s="848"/>
      <c r="AM105" s="848"/>
      <c r="AN105" s="848"/>
      <c r="AO105" s="848"/>
      <c r="AP105" s="848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849"/>
      <c r="BL105" s="849"/>
      <c r="BM105" s="849"/>
      <c r="BN105" s="849"/>
      <c r="BO105" s="849"/>
      <c r="BP105" s="849"/>
      <c r="BQ105" s="849"/>
      <c r="BR105" s="849"/>
      <c r="BS105" s="849"/>
      <c r="BT105" s="849"/>
    </row>
    <row r="106" spans="1:72" ht="15" customHeight="1">
      <c r="A106" s="154" t="str">
        <f>'2.Cost Allocation'!A106</f>
        <v>Structural Landscaping</v>
      </c>
      <c r="B106" s="89"/>
      <c r="C106" s="89"/>
      <c r="D106" s="108"/>
      <c r="E106" s="107"/>
      <c r="F106" s="89"/>
      <c r="G106" s="108"/>
      <c r="H106" s="107"/>
      <c r="I106" s="89"/>
      <c r="J106" s="108"/>
      <c r="K106" s="107"/>
      <c r="L106" s="89"/>
      <c r="M106" s="108"/>
      <c r="N106" s="107"/>
      <c r="O106" s="89"/>
      <c r="P106" s="108"/>
      <c r="Q106" s="142"/>
      <c r="R106" s="87"/>
      <c r="S106" s="118"/>
      <c r="T106" s="122"/>
      <c r="U106" s="125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</row>
    <row r="107" spans="1:72" s="850" customFormat="1" ht="15" customHeight="1">
      <c r="A107" s="1084" t="str">
        <f>'2.Cost Allocation'!A107</f>
        <v>17.5 hectares</v>
      </c>
      <c r="B107" s="1085" t="s">
        <v>247</v>
      </c>
      <c r="C107" s="1085" t="s">
        <v>247</v>
      </c>
      <c r="D107" s="1085" t="s">
        <v>247</v>
      </c>
      <c r="E107" s="1086" t="s">
        <v>247</v>
      </c>
      <c r="F107" s="1085" t="s">
        <v>247</v>
      </c>
      <c r="G107" s="1085" t="s">
        <v>247</v>
      </c>
      <c r="H107" s="1086" t="s">
        <v>247</v>
      </c>
      <c r="I107" s="1085" t="s">
        <v>247</v>
      </c>
      <c r="J107" s="1085" t="s">
        <v>247</v>
      </c>
      <c r="K107" s="1086" t="s">
        <v>247</v>
      </c>
      <c r="L107" s="1085" t="s">
        <v>247</v>
      </c>
      <c r="M107" s="1085" t="s">
        <v>247</v>
      </c>
      <c r="N107" s="1086" t="s">
        <v>247</v>
      </c>
      <c r="O107" s="1085" t="s">
        <v>247</v>
      </c>
      <c r="P107" s="1085" t="s">
        <v>247</v>
      </c>
      <c r="Q107" s="1087">
        <f>'2.Cost Allocation'!$G$107</f>
        <v>962500</v>
      </c>
      <c r="R107" s="1088">
        <v>0</v>
      </c>
      <c r="S107" s="1089">
        <f>Q107-R107</f>
        <v>962500</v>
      </c>
      <c r="T107" s="856"/>
      <c r="U107" s="857"/>
      <c r="V107" s="848"/>
      <c r="W107" s="848"/>
      <c r="X107" s="848"/>
      <c r="Y107" s="848"/>
      <c r="Z107" s="848"/>
      <c r="AA107" s="848"/>
      <c r="AB107" s="848"/>
      <c r="AC107" s="848"/>
      <c r="AD107" s="848"/>
      <c r="AE107" s="848"/>
      <c r="AF107" s="848"/>
      <c r="AG107" s="848"/>
      <c r="AH107" s="848"/>
      <c r="AI107" s="848"/>
      <c r="AJ107" s="848"/>
      <c r="AK107" s="848"/>
      <c r="AL107" s="848"/>
      <c r="AM107" s="848"/>
      <c r="AN107" s="848"/>
      <c r="AO107" s="848"/>
      <c r="AP107" s="848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849"/>
      <c r="BL107" s="849"/>
      <c r="BM107" s="849"/>
      <c r="BN107" s="849"/>
      <c r="BO107" s="849"/>
      <c r="BP107" s="849"/>
      <c r="BQ107" s="849"/>
      <c r="BR107" s="849"/>
      <c r="BS107" s="849"/>
      <c r="BT107" s="849"/>
    </row>
    <row r="108" spans="1:72" ht="15" customHeight="1">
      <c r="A108" s="743" t="str">
        <f>'2.Cost Allocation'!A108</f>
        <v>Health Building</v>
      </c>
      <c r="B108" s="12"/>
      <c r="C108" s="12"/>
      <c r="D108" s="106"/>
      <c r="E108" s="100"/>
      <c r="F108" s="12"/>
      <c r="G108" s="106"/>
      <c r="H108" s="100"/>
      <c r="I108" s="12"/>
      <c r="J108" s="106"/>
      <c r="K108" s="100"/>
      <c r="L108" s="12"/>
      <c r="M108" s="106"/>
      <c r="N108" s="100"/>
      <c r="O108" s="12"/>
      <c r="P108" s="106"/>
      <c r="Q108" s="141"/>
      <c r="R108" s="13"/>
      <c r="S108" s="117"/>
      <c r="T108" s="121"/>
      <c r="U108" s="29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</row>
    <row r="109" spans="1:72" ht="15" customHeight="1">
      <c r="A109" s="699" t="str">
        <f>'2.Cost Allocation'!A109</f>
        <v>Health Centre</v>
      </c>
      <c r="B109" s="132" t="s">
        <v>247</v>
      </c>
      <c r="C109" s="132" t="s">
        <v>247</v>
      </c>
      <c r="D109" s="132" t="s">
        <v>247</v>
      </c>
      <c r="E109" s="131" t="s">
        <v>247</v>
      </c>
      <c r="F109" s="132" t="s">
        <v>247</v>
      </c>
      <c r="G109" s="132" t="s">
        <v>247</v>
      </c>
      <c r="H109" s="131" t="s">
        <v>247</v>
      </c>
      <c r="I109" s="132" t="s">
        <v>247</v>
      </c>
      <c r="J109" s="132" t="s">
        <v>247</v>
      </c>
      <c r="K109" s="131" t="s">
        <v>247</v>
      </c>
      <c r="L109" s="132" t="s">
        <v>247</v>
      </c>
      <c r="M109" s="132" t="s">
        <v>247</v>
      </c>
      <c r="N109" s="131" t="s">
        <v>247</v>
      </c>
      <c r="O109" s="132" t="s">
        <v>247</v>
      </c>
      <c r="P109" s="132" t="s">
        <v>247</v>
      </c>
      <c r="Q109" s="101">
        <f>'2.Cost Allocation'!$G$109</f>
        <v>577500</v>
      </c>
      <c r="R109" s="93">
        <v>0</v>
      </c>
      <c r="S109" s="118">
        <f>Q109-R109</f>
        <v>577500</v>
      </c>
      <c r="T109" s="122"/>
      <c r="U109" s="125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</row>
    <row r="110" spans="1:72" ht="15" customHeight="1">
      <c r="A110" s="154" t="str">
        <f>'2.Cost Allocation'!A110</f>
        <v>Community Leisure / Pool</v>
      </c>
      <c r="B110" s="89"/>
      <c r="C110" s="89"/>
      <c r="D110" s="108"/>
      <c r="E110" s="107"/>
      <c r="F110" s="89"/>
      <c r="G110" s="108"/>
      <c r="H110" s="107"/>
      <c r="I110" s="89"/>
      <c r="J110" s="108"/>
      <c r="K110" s="107"/>
      <c r="L110" s="89"/>
      <c r="M110" s="108"/>
      <c r="N110" s="107"/>
      <c r="O110" s="89"/>
      <c r="P110" s="108"/>
      <c r="Q110" s="142"/>
      <c r="R110" s="87"/>
      <c r="S110" s="118"/>
      <c r="T110" s="122"/>
      <c r="U110" s="125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</row>
    <row r="111" spans="1:72" ht="15" customHeight="1" thickBot="1">
      <c r="A111" s="744" t="str">
        <f>'2.Cost Allocation'!A111</f>
        <v>Community Hall</v>
      </c>
      <c r="B111" s="132" t="s">
        <v>247</v>
      </c>
      <c r="C111" s="132" t="s">
        <v>247</v>
      </c>
      <c r="D111" s="132" t="s">
        <v>247</v>
      </c>
      <c r="E111" s="131" t="s">
        <v>247</v>
      </c>
      <c r="F111" s="132" t="s">
        <v>247</v>
      </c>
      <c r="G111" s="132" t="s">
        <v>247</v>
      </c>
      <c r="H111" s="131" t="s">
        <v>247</v>
      </c>
      <c r="I111" s="132" t="s">
        <v>247</v>
      </c>
      <c r="J111" s="132" t="s">
        <v>247</v>
      </c>
      <c r="K111" s="131" t="s">
        <v>247</v>
      </c>
      <c r="L111" s="132" t="s">
        <v>247</v>
      </c>
      <c r="M111" s="132" t="s">
        <v>247</v>
      </c>
      <c r="N111" s="131" t="s">
        <v>247</v>
      </c>
      <c r="O111" s="132" t="s">
        <v>247</v>
      </c>
      <c r="P111" s="132" t="s">
        <v>247</v>
      </c>
      <c r="Q111" s="142">
        <f>'2.Cost Allocation'!$G$111</f>
        <v>1683000</v>
      </c>
      <c r="R111" s="87">
        <v>0</v>
      </c>
      <c r="S111" s="118">
        <f>Q111-R111</f>
        <v>1683000</v>
      </c>
      <c r="T111" s="122"/>
      <c r="U111" s="125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</row>
    <row r="112" spans="1:72" s="144" customFormat="1" ht="15" customHeight="1">
      <c r="A112" s="207" t="str">
        <f>'2.Cost Allocation'!A112</f>
        <v>Totals</v>
      </c>
      <c r="B112" s="208">
        <f aca="true" t="shared" si="10" ref="B112:S112">SUM(B101:B111)</f>
        <v>0</v>
      </c>
      <c r="C112" s="209">
        <f t="shared" si="10"/>
        <v>0</v>
      </c>
      <c r="D112" s="211">
        <f t="shared" si="10"/>
        <v>0</v>
      </c>
      <c r="E112" s="208">
        <f t="shared" si="10"/>
        <v>0</v>
      </c>
      <c r="F112" s="211">
        <f t="shared" si="10"/>
        <v>0</v>
      </c>
      <c r="G112" s="393">
        <f t="shared" si="10"/>
        <v>0</v>
      </c>
      <c r="H112" s="208">
        <f t="shared" si="10"/>
        <v>0</v>
      </c>
      <c r="I112" s="211">
        <f t="shared" si="10"/>
        <v>0</v>
      </c>
      <c r="J112" s="210">
        <f t="shared" si="10"/>
        <v>0</v>
      </c>
      <c r="K112" s="208">
        <f>SUM(K101:K111)</f>
        <v>0</v>
      </c>
      <c r="L112" s="211">
        <f>SUM(L101:L111)</f>
        <v>0</v>
      </c>
      <c r="M112" s="210">
        <f>SUM(M101:M111)</f>
        <v>0</v>
      </c>
      <c r="N112" s="208">
        <f t="shared" si="10"/>
        <v>0</v>
      </c>
      <c r="O112" s="211">
        <f t="shared" si="10"/>
        <v>0</v>
      </c>
      <c r="P112" s="210">
        <f t="shared" si="10"/>
        <v>0</v>
      </c>
      <c r="Q112" s="211">
        <f t="shared" si="10"/>
        <v>21813000</v>
      </c>
      <c r="R112" s="209">
        <f t="shared" si="10"/>
        <v>3498000</v>
      </c>
      <c r="S112" s="211">
        <f t="shared" si="10"/>
        <v>18315000</v>
      </c>
      <c r="T112" s="212">
        <f>B112+E112+H112+K112+N112+Q112</f>
        <v>21813000</v>
      </c>
      <c r="U112" s="38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</row>
    <row r="113" spans="1:72" s="144" customFormat="1" ht="15" customHeight="1" thickBot="1">
      <c r="A113" s="387" t="str">
        <f>'2.Cost Allocation'!A113</f>
        <v>Totals excluding specific contributions allocated</v>
      </c>
      <c r="B113" s="388">
        <f aca="true" t="shared" si="11" ref="B113:S113">B112</f>
        <v>0</v>
      </c>
      <c r="C113" s="336">
        <f t="shared" si="11"/>
        <v>0</v>
      </c>
      <c r="D113" s="336">
        <f t="shared" si="11"/>
        <v>0</v>
      </c>
      <c r="E113" s="388">
        <f t="shared" si="11"/>
        <v>0</v>
      </c>
      <c r="F113" s="336">
        <f t="shared" si="11"/>
        <v>0</v>
      </c>
      <c r="G113" s="394">
        <f t="shared" si="11"/>
        <v>0</v>
      </c>
      <c r="H113" s="388">
        <f t="shared" si="11"/>
        <v>0</v>
      </c>
      <c r="I113" s="336">
        <f t="shared" si="11"/>
        <v>0</v>
      </c>
      <c r="J113" s="395">
        <f t="shared" si="11"/>
        <v>0</v>
      </c>
      <c r="K113" s="388">
        <f t="shared" si="11"/>
        <v>0</v>
      </c>
      <c r="L113" s="336">
        <f t="shared" si="11"/>
        <v>0</v>
      </c>
      <c r="M113" s="395">
        <f t="shared" si="11"/>
        <v>0</v>
      </c>
      <c r="N113" s="388">
        <f t="shared" si="11"/>
        <v>0</v>
      </c>
      <c r="O113" s="336">
        <f t="shared" si="11"/>
        <v>0</v>
      </c>
      <c r="P113" s="395">
        <f t="shared" si="11"/>
        <v>0</v>
      </c>
      <c r="Q113" s="336">
        <f t="shared" si="11"/>
        <v>21813000</v>
      </c>
      <c r="R113" s="336">
        <f t="shared" si="11"/>
        <v>3498000</v>
      </c>
      <c r="S113" s="395">
        <f t="shared" si="11"/>
        <v>18315000</v>
      </c>
      <c r="T113" s="389">
        <f>B113+E113+H113+K113+N113+Q113</f>
        <v>21813000</v>
      </c>
      <c r="U113" s="379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</row>
    <row r="114" spans="1:72" ht="15" customHeight="1" thickBot="1">
      <c r="A114" s="147"/>
      <c r="B114" s="148"/>
      <c r="C114" s="148"/>
      <c r="D114" s="148"/>
      <c r="E114" s="149"/>
      <c r="F114" s="149"/>
      <c r="G114" s="149"/>
      <c r="H114" s="149"/>
      <c r="I114" s="149"/>
      <c r="J114" s="149"/>
      <c r="K114" s="152"/>
      <c r="L114" s="152"/>
      <c r="M114" s="152"/>
      <c r="N114" s="150"/>
      <c r="O114" s="150"/>
      <c r="P114" s="150"/>
      <c r="Q114" s="151"/>
      <c r="R114" s="151"/>
      <c r="S114" s="151"/>
      <c r="T114" s="151"/>
      <c r="U114" s="153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</row>
    <row r="115" spans="1:72" ht="15" customHeight="1" thickBot="1">
      <c r="A115" s="373" t="s">
        <v>353</v>
      </c>
      <c r="B115" s="396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7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</row>
    <row r="116" spans="1:72" ht="15" customHeight="1" thickBot="1">
      <c r="A116" s="387" t="s">
        <v>354</v>
      </c>
      <c r="B116" s="757">
        <v>0</v>
      </c>
      <c r="C116" s="758">
        <v>0</v>
      </c>
      <c r="D116" s="759">
        <v>0</v>
      </c>
      <c r="E116" s="766">
        <v>15900000</v>
      </c>
      <c r="F116" s="336">
        <f>F115</f>
        <v>0</v>
      </c>
      <c r="G116" s="774">
        <v>15900000</v>
      </c>
      <c r="H116" s="762">
        <v>0</v>
      </c>
      <c r="I116" s="760">
        <v>0</v>
      </c>
      <c r="J116" s="761">
        <v>0</v>
      </c>
      <c r="K116" s="754">
        <v>0</v>
      </c>
      <c r="L116" s="755">
        <v>0</v>
      </c>
      <c r="M116" s="756">
        <v>0</v>
      </c>
      <c r="N116" s="763">
        <v>0</v>
      </c>
      <c r="O116" s="764">
        <v>0</v>
      </c>
      <c r="P116" s="765">
        <v>0</v>
      </c>
      <c r="Q116" s="751">
        <v>0</v>
      </c>
      <c r="R116" s="752">
        <v>0</v>
      </c>
      <c r="S116" s="753">
        <v>0</v>
      </c>
      <c r="T116" s="389">
        <f>B116+E116+H116+K116+N116+Q116</f>
        <v>15900000</v>
      </c>
      <c r="U116" s="750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</row>
    <row r="117" spans="1:72" ht="15" customHeight="1" thickBot="1">
      <c r="A117" s="745"/>
      <c r="B117" s="746"/>
      <c r="C117" s="746"/>
      <c r="D117" s="746"/>
      <c r="E117" s="747"/>
      <c r="F117" s="747"/>
      <c r="G117" s="747"/>
      <c r="H117" s="747"/>
      <c r="I117" s="747"/>
      <c r="J117" s="747"/>
      <c r="K117" s="748"/>
      <c r="L117" s="748"/>
      <c r="M117" s="748"/>
      <c r="N117" s="749"/>
      <c r="O117" s="749"/>
      <c r="P117" s="749"/>
      <c r="Q117" s="341"/>
      <c r="R117" s="341"/>
      <c r="S117" s="341"/>
      <c r="T117" s="341"/>
      <c r="U117" s="750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</row>
    <row r="118" spans="1:72" ht="15" customHeight="1">
      <c r="A118" s="207" t="s">
        <v>127</v>
      </c>
      <c r="B118" s="382">
        <f aca="true" t="shared" si="12" ref="B118:D119">B112+B97+B73+B45+B28</f>
        <v>122437200</v>
      </c>
      <c r="C118" s="356">
        <f t="shared" si="12"/>
        <v>62269900</v>
      </c>
      <c r="D118" s="401">
        <f t="shared" si="12"/>
        <v>60167300</v>
      </c>
      <c r="E118" s="382">
        <f>E112+E97+E73+E45+E28+E11</f>
        <v>63225800</v>
      </c>
      <c r="F118" s="356">
        <f>F112+F97+F73+F45+F28+F116</f>
        <v>8157600</v>
      </c>
      <c r="G118" s="401">
        <f aca="true" t="shared" si="13" ref="G118:S118">G112+G97+G73+G45+G28</f>
        <v>55068200</v>
      </c>
      <c r="H118" s="382">
        <f t="shared" si="13"/>
        <v>66132000</v>
      </c>
      <c r="I118" s="356">
        <f t="shared" si="13"/>
        <v>8659200</v>
      </c>
      <c r="J118" s="401">
        <f t="shared" si="13"/>
        <v>57472800</v>
      </c>
      <c r="K118" s="382">
        <f t="shared" si="13"/>
        <v>0</v>
      </c>
      <c r="L118" s="383">
        <f t="shared" si="13"/>
        <v>0</v>
      </c>
      <c r="M118" s="401">
        <f t="shared" si="13"/>
        <v>0</v>
      </c>
      <c r="N118" s="382">
        <f t="shared" si="13"/>
        <v>57992000</v>
      </c>
      <c r="O118" s="356">
        <f t="shared" si="13"/>
        <v>7326000</v>
      </c>
      <c r="P118" s="401">
        <f t="shared" si="13"/>
        <v>50666000</v>
      </c>
      <c r="Q118" s="382">
        <f t="shared" si="13"/>
        <v>21813000</v>
      </c>
      <c r="R118" s="356">
        <f t="shared" si="13"/>
        <v>3498000</v>
      </c>
      <c r="S118" s="786">
        <f t="shared" si="13"/>
        <v>18315000</v>
      </c>
      <c r="T118" s="212">
        <f>B118+E118+H118+K118+N118+Q118</f>
        <v>331600000</v>
      </c>
      <c r="U118" s="787" t="s">
        <v>127</v>
      </c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</row>
    <row r="119" spans="1:72" s="16" customFormat="1" ht="15" customHeight="1" thickBot="1">
      <c r="A119" s="932" t="s">
        <v>245</v>
      </c>
      <c r="B119" s="893">
        <f t="shared" si="12"/>
        <v>122437200</v>
      </c>
      <c r="C119" s="894">
        <f t="shared" si="12"/>
        <v>62269900</v>
      </c>
      <c r="D119" s="895">
        <f t="shared" si="12"/>
        <v>60167300</v>
      </c>
      <c r="E119" s="907">
        <f>E113+E98+E74+E46+E29-E116</f>
        <v>47325800</v>
      </c>
      <c r="F119" s="894">
        <f>F113+F98+F74+F46+F29+F116</f>
        <v>8157600</v>
      </c>
      <c r="G119" s="908">
        <f>G113+G98+G74+G46+G29-G116</f>
        <v>39168200</v>
      </c>
      <c r="H119" s="893">
        <f aca="true" t="shared" si="14" ref="H119:S119">H113+H98+H74+H46+H29</f>
        <v>66132000</v>
      </c>
      <c r="I119" s="894">
        <f t="shared" si="14"/>
        <v>8659200</v>
      </c>
      <c r="J119" s="895">
        <f t="shared" si="14"/>
        <v>57472800</v>
      </c>
      <c r="K119" s="893">
        <f t="shared" si="14"/>
        <v>0</v>
      </c>
      <c r="L119" s="894">
        <f t="shared" si="14"/>
        <v>0</v>
      </c>
      <c r="M119" s="895">
        <f t="shared" si="14"/>
        <v>0</v>
      </c>
      <c r="N119" s="893">
        <f t="shared" si="14"/>
        <v>57992000</v>
      </c>
      <c r="O119" s="894">
        <f t="shared" si="14"/>
        <v>7326000</v>
      </c>
      <c r="P119" s="895">
        <f t="shared" si="14"/>
        <v>50666000</v>
      </c>
      <c r="Q119" s="893">
        <f t="shared" si="14"/>
        <v>21813000</v>
      </c>
      <c r="R119" s="894">
        <f t="shared" si="14"/>
        <v>3498000</v>
      </c>
      <c r="S119" s="922">
        <f t="shared" si="14"/>
        <v>18315000</v>
      </c>
      <c r="T119" s="933">
        <f>S119+P119+M119+J119+G119+D119</f>
        <v>225789300</v>
      </c>
      <c r="U119" s="934" t="s">
        <v>361</v>
      </c>
      <c r="V119" s="391"/>
      <c r="W119" s="391"/>
      <c r="X119" s="391"/>
      <c r="Y119" s="391"/>
      <c r="Z119" s="391"/>
      <c r="AA119" s="391"/>
      <c r="AB119" s="391"/>
      <c r="AC119" s="391"/>
      <c r="AD119" s="391"/>
      <c r="AE119" s="391"/>
      <c r="AF119" s="391"/>
      <c r="AG119" s="391"/>
      <c r="AH119" s="391"/>
      <c r="AI119" s="391"/>
      <c r="AJ119" s="391"/>
      <c r="AK119" s="391"/>
      <c r="AL119" s="391"/>
      <c r="AM119" s="391"/>
      <c r="AN119" s="391"/>
      <c r="AO119" s="391"/>
      <c r="AP119" s="391"/>
      <c r="AQ119" s="392"/>
      <c r="AR119" s="392"/>
      <c r="AS119" s="392"/>
      <c r="AT119" s="392"/>
      <c r="AU119" s="392"/>
      <c r="AV119" s="392"/>
      <c r="AW119" s="392"/>
      <c r="AX119" s="392"/>
      <c r="AY119" s="392"/>
      <c r="AZ119" s="392"/>
      <c r="BA119" s="392"/>
      <c r="BB119" s="392"/>
      <c r="BC119" s="392"/>
      <c r="BD119" s="392"/>
      <c r="BE119" s="392"/>
      <c r="BF119" s="392"/>
      <c r="BG119" s="392"/>
      <c r="BH119" s="392"/>
      <c r="BI119" s="392"/>
      <c r="BJ119" s="392"/>
      <c r="BK119" s="392"/>
      <c r="BL119" s="392"/>
      <c r="BM119" s="392"/>
      <c r="BN119" s="392"/>
      <c r="BO119" s="392"/>
      <c r="BP119" s="392"/>
      <c r="BQ119" s="392"/>
      <c r="BR119" s="392"/>
      <c r="BS119" s="392"/>
      <c r="BT119" s="392"/>
    </row>
    <row r="120" spans="1:72" s="16" customFormat="1" ht="15" customHeight="1">
      <c r="A120" s="935"/>
      <c r="B120" s="896"/>
      <c r="C120" s="897"/>
      <c r="D120" s="898"/>
      <c r="E120" s="896"/>
      <c r="F120" s="897"/>
      <c r="G120" s="898"/>
      <c r="H120" s="896"/>
      <c r="I120" s="897"/>
      <c r="J120" s="898"/>
      <c r="K120" s="896"/>
      <c r="L120" s="897"/>
      <c r="M120" s="898"/>
      <c r="N120" s="896"/>
      <c r="O120" s="914"/>
      <c r="P120" s="898"/>
      <c r="Q120" s="896"/>
      <c r="R120" s="897"/>
      <c r="S120" s="898"/>
      <c r="T120" s="936"/>
      <c r="U120" s="937"/>
      <c r="V120" s="391"/>
      <c r="W120" s="391"/>
      <c r="X120" s="391"/>
      <c r="Y120" s="391"/>
      <c r="Z120" s="391"/>
      <c r="AA120" s="391"/>
      <c r="AB120" s="391"/>
      <c r="AC120" s="391"/>
      <c r="AD120" s="391"/>
      <c r="AE120" s="391"/>
      <c r="AF120" s="391"/>
      <c r="AG120" s="391"/>
      <c r="AH120" s="391"/>
      <c r="AI120" s="391"/>
      <c r="AJ120" s="391"/>
      <c r="AK120" s="391"/>
      <c r="AL120" s="391"/>
      <c r="AM120" s="391"/>
      <c r="AN120" s="391"/>
      <c r="AO120" s="391"/>
      <c r="AP120" s="391"/>
      <c r="AQ120" s="392"/>
      <c r="AR120" s="392"/>
      <c r="AS120" s="392"/>
      <c r="AT120" s="392"/>
      <c r="AU120" s="392"/>
      <c r="AV120" s="392"/>
      <c r="AW120" s="392"/>
      <c r="AX120" s="392"/>
      <c r="AY120" s="392"/>
      <c r="AZ120" s="392"/>
      <c r="BA120" s="392"/>
      <c r="BB120" s="392"/>
      <c r="BC120" s="392"/>
      <c r="BD120" s="392"/>
      <c r="BE120" s="392"/>
      <c r="BF120" s="392"/>
      <c r="BG120" s="392"/>
      <c r="BH120" s="392"/>
      <c r="BI120" s="392"/>
      <c r="BJ120" s="392"/>
      <c r="BK120" s="392"/>
      <c r="BL120" s="392"/>
      <c r="BM120" s="392"/>
      <c r="BN120" s="392"/>
      <c r="BO120" s="392"/>
      <c r="BP120" s="392"/>
      <c r="BQ120" s="392"/>
      <c r="BR120" s="392"/>
      <c r="BS120" s="392"/>
      <c r="BT120" s="392"/>
    </row>
    <row r="121" spans="1:72" s="16" customFormat="1" ht="15" customHeight="1">
      <c r="A121" s="938"/>
      <c r="B121" s="899"/>
      <c r="C121" s="832"/>
      <c r="D121" s="900"/>
      <c r="E121" s="899"/>
      <c r="F121" s="832"/>
      <c r="G121" s="900"/>
      <c r="H121" s="899"/>
      <c r="I121" s="832"/>
      <c r="J121" s="900"/>
      <c r="K121" s="899"/>
      <c r="L121" s="832"/>
      <c r="M121" s="900"/>
      <c r="N121" s="899"/>
      <c r="O121" s="833"/>
      <c r="P121" s="900"/>
      <c r="Q121" s="899"/>
      <c r="R121" s="832"/>
      <c r="S121" s="900"/>
      <c r="T121" s="919"/>
      <c r="U121" s="791"/>
      <c r="V121" s="391"/>
      <c r="W121" s="391"/>
      <c r="X121" s="391"/>
      <c r="Y121" s="391"/>
      <c r="Z121" s="391"/>
      <c r="AA121" s="391"/>
      <c r="AB121" s="391"/>
      <c r="AC121" s="391"/>
      <c r="AD121" s="391"/>
      <c r="AE121" s="391"/>
      <c r="AF121" s="391"/>
      <c r="AG121" s="391"/>
      <c r="AH121" s="391"/>
      <c r="AI121" s="391"/>
      <c r="AJ121" s="391"/>
      <c r="AK121" s="391"/>
      <c r="AL121" s="391"/>
      <c r="AM121" s="391"/>
      <c r="AN121" s="391"/>
      <c r="AO121" s="391"/>
      <c r="AP121" s="391"/>
      <c r="AQ121" s="392"/>
      <c r="AR121" s="392"/>
      <c r="AS121" s="392"/>
      <c r="AT121" s="392"/>
      <c r="AU121" s="392"/>
      <c r="AV121" s="392"/>
      <c r="AW121" s="392"/>
      <c r="AX121" s="392"/>
      <c r="AY121" s="392"/>
      <c r="AZ121" s="392"/>
      <c r="BA121" s="392"/>
      <c r="BB121" s="392"/>
      <c r="BC121" s="392"/>
      <c r="BD121" s="392"/>
      <c r="BE121" s="392"/>
      <c r="BF121" s="392"/>
      <c r="BG121" s="392"/>
      <c r="BH121" s="392"/>
      <c r="BI121" s="392"/>
      <c r="BJ121" s="392"/>
      <c r="BK121" s="392"/>
      <c r="BL121" s="392"/>
      <c r="BM121" s="392"/>
      <c r="BN121" s="392"/>
      <c r="BO121" s="392"/>
      <c r="BP121" s="392"/>
      <c r="BQ121" s="392"/>
      <c r="BR121" s="392"/>
      <c r="BS121" s="392"/>
      <c r="BT121" s="392"/>
    </row>
    <row r="122" spans="1:72" s="770" customFormat="1" ht="15" customHeight="1">
      <c r="A122" s="834"/>
      <c r="B122" s="776"/>
      <c r="C122" s="53"/>
      <c r="D122" s="901"/>
      <c r="E122" s="909"/>
      <c r="F122" s="54"/>
      <c r="G122" s="901"/>
      <c r="H122" s="909"/>
      <c r="I122" s="54"/>
      <c r="J122" s="901"/>
      <c r="K122" s="909"/>
      <c r="L122" s="54"/>
      <c r="M122" s="110"/>
      <c r="N122" s="915"/>
      <c r="O122" s="767"/>
      <c r="P122" s="901"/>
      <c r="Q122" s="923"/>
      <c r="R122" s="55"/>
      <c r="S122" s="901"/>
      <c r="T122" s="920">
        <f>B119+E119+H119+K119+N119+Q119</f>
        <v>315700000</v>
      </c>
      <c r="U122" s="790" t="s">
        <v>245</v>
      </c>
      <c r="V122" s="768"/>
      <c r="W122" s="768"/>
      <c r="X122" s="768"/>
      <c r="Y122" s="768"/>
      <c r="Z122" s="768"/>
      <c r="AA122" s="768"/>
      <c r="AB122" s="768"/>
      <c r="AC122" s="768"/>
      <c r="AD122" s="768"/>
      <c r="AE122" s="768"/>
      <c r="AF122" s="768"/>
      <c r="AG122" s="768"/>
      <c r="AH122" s="768"/>
      <c r="AI122" s="768"/>
      <c r="AJ122" s="768"/>
      <c r="AK122" s="768"/>
      <c r="AL122" s="768"/>
      <c r="AM122" s="768"/>
      <c r="AN122" s="768"/>
      <c r="AO122" s="768"/>
      <c r="AP122" s="768"/>
      <c r="AQ122" s="769"/>
      <c r="AR122" s="769"/>
      <c r="AS122" s="769"/>
      <c r="AT122" s="769"/>
      <c r="AU122" s="769"/>
      <c r="AV122" s="769"/>
      <c r="AW122" s="769"/>
      <c r="AX122" s="769"/>
      <c r="AY122" s="769"/>
      <c r="AZ122" s="769"/>
      <c r="BA122" s="769"/>
      <c r="BB122" s="769"/>
      <c r="BC122" s="769"/>
      <c r="BD122" s="769"/>
      <c r="BE122" s="769"/>
      <c r="BF122" s="769"/>
      <c r="BG122" s="769"/>
      <c r="BH122" s="769"/>
      <c r="BI122" s="769"/>
      <c r="BJ122" s="769"/>
      <c r="BK122" s="769"/>
      <c r="BL122" s="769"/>
      <c r="BM122" s="769"/>
      <c r="BN122" s="769"/>
      <c r="BO122" s="769"/>
      <c r="BP122" s="769"/>
      <c r="BQ122" s="769"/>
      <c r="BR122" s="769"/>
      <c r="BS122" s="769"/>
      <c r="BT122" s="769"/>
    </row>
    <row r="123" spans="1:42" s="770" customFormat="1" ht="15" customHeight="1" thickBot="1">
      <c r="A123" s="835"/>
      <c r="B123" s="355"/>
      <c r="C123" s="195"/>
      <c r="D123" s="902"/>
      <c r="E123" s="910"/>
      <c r="F123" s="362"/>
      <c r="G123" s="902"/>
      <c r="H123" s="910"/>
      <c r="I123" s="362"/>
      <c r="J123" s="902"/>
      <c r="K123" s="910"/>
      <c r="L123" s="362"/>
      <c r="M123" s="913"/>
      <c r="N123" s="563"/>
      <c r="O123" s="788"/>
      <c r="P123" s="902"/>
      <c r="Q123" s="924"/>
      <c r="R123" s="363"/>
      <c r="S123" s="902"/>
      <c r="T123" s="921">
        <f>C119+F119+I119+L119+O119+R119</f>
        <v>89910700</v>
      </c>
      <c r="U123" s="789" t="s">
        <v>362</v>
      </c>
      <c r="V123" s="768"/>
      <c r="W123" s="768"/>
      <c r="X123" s="768"/>
      <c r="Y123" s="768"/>
      <c r="Z123" s="768"/>
      <c r="AA123" s="768"/>
      <c r="AB123" s="768"/>
      <c r="AC123" s="768"/>
      <c r="AD123" s="768"/>
      <c r="AE123" s="768"/>
      <c r="AF123" s="768"/>
      <c r="AG123" s="768"/>
      <c r="AH123" s="768"/>
      <c r="AI123" s="768"/>
      <c r="AJ123" s="768"/>
      <c r="AK123" s="768"/>
      <c r="AL123" s="768"/>
      <c r="AM123" s="768"/>
      <c r="AN123" s="768"/>
      <c r="AO123" s="768"/>
      <c r="AP123" s="768"/>
    </row>
    <row r="124" spans="1:42" s="770" customFormat="1" ht="12" customHeight="1">
      <c r="A124" s="745"/>
      <c r="B124" s="903"/>
      <c r="C124" s="746"/>
      <c r="D124" s="904"/>
      <c r="E124" s="911"/>
      <c r="F124" s="747"/>
      <c r="G124" s="912"/>
      <c r="H124" s="911"/>
      <c r="I124" s="747"/>
      <c r="J124" s="912"/>
      <c r="K124" s="911"/>
      <c r="L124" s="747"/>
      <c r="M124" s="912"/>
      <c r="N124" s="916"/>
      <c r="O124" s="892"/>
      <c r="P124" s="917"/>
      <c r="Q124" s="925"/>
      <c r="R124" s="341"/>
      <c r="S124" s="926"/>
      <c r="T124" s="927"/>
      <c r="U124" s="929"/>
      <c r="V124" s="768"/>
      <c r="W124" s="768"/>
      <c r="X124" s="768"/>
      <c r="Y124" s="768"/>
      <c r="Z124" s="768"/>
      <c r="AA124" s="768"/>
      <c r="AB124" s="768"/>
      <c r="AC124" s="768"/>
      <c r="AD124" s="768"/>
      <c r="AE124" s="768"/>
      <c r="AF124" s="768"/>
      <c r="AG124" s="768"/>
      <c r="AH124" s="768"/>
      <c r="AI124" s="768"/>
      <c r="AJ124" s="768"/>
      <c r="AK124" s="768"/>
      <c r="AL124" s="768"/>
      <c r="AM124" s="768"/>
      <c r="AN124" s="768"/>
      <c r="AO124" s="768"/>
      <c r="AP124" s="768"/>
    </row>
    <row r="125" spans="1:42" s="770" customFormat="1" ht="12" customHeight="1">
      <c r="A125" s="834" t="s">
        <v>394</v>
      </c>
      <c r="B125" s="776"/>
      <c r="C125" s="53"/>
      <c r="D125" s="901">
        <f>D119-D126</f>
        <v>4750000</v>
      </c>
      <c r="E125" s="909"/>
      <c r="F125" s="54"/>
      <c r="G125" s="901">
        <f>G119-G126</f>
        <v>17830400</v>
      </c>
      <c r="H125" s="909"/>
      <c r="I125" s="54"/>
      <c r="J125" s="901">
        <f>J119-J126</f>
        <v>34636800</v>
      </c>
      <c r="K125" s="909"/>
      <c r="L125" s="54"/>
      <c r="M125" s="110"/>
      <c r="N125" s="915"/>
      <c r="O125" s="767"/>
      <c r="P125" s="901">
        <f>P119-P126</f>
        <v>41151000</v>
      </c>
      <c r="Q125" s="923"/>
      <c r="R125" s="55"/>
      <c r="S125" s="901">
        <f>S119-S126</f>
        <v>16252500</v>
      </c>
      <c r="T125" s="121"/>
      <c r="U125" s="930"/>
      <c r="V125" s="768"/>
      <c r="W125" s="768"/>
      <c r="X125" s="768"/>
      <c r="Y125" s="768"/>
      <c r="Z125" s="768"/>
      <c r="AA125" s="768"/>
      <c r="AB125" s="768"/>
      <c r="AC125" s="768"/>
      <c r="AD125" s="768"/>
      <c r="AE125" s="768"/>
      <c r="AF125" s="768"/>
      <c r="AG125" s="768"/>
      <c r="AH125" s="768"/>
      <c r="AI125" s="768"/>
      <c r="AJ125" s="768"/>
      <c r="AK125" s="768"/>
      <c r="AL125" s="768"/>
      <c r="AM125" s="768"/>
      <c r="AN125" s="768"/>
      <c r="AO125" s="768"/>
      <c r="AP125" s="768"/>
    </row>
    <row r="126" spans="1:42" s="770" customFormat="1" ht="17.25" customHeight="1" thickBot="1">
      <c r="A126" s="835" t="s">
        <v>395</v>
      </c>
      <c r="B126" s="355"/>
      <c r="C126" s="195"/>
      <c r="D126" s="1021">
        <f>D93+D72+D39+D27+D16+D15+D14+D36+D37+D55+D57+D59</f>
        <v>55417300</v>
      </c>
      <c r="E126" s="910"/>
      <c r="F126" s="362"/>
      <c r="G126" s="1022">
        <f>G93+G72+G39+G27+G16+G15+G14+G12+G18</f>
        <v>21337800</v>
      </c>
      <c r="H126" s="910"/>
      <c r="I126" s="362"/>
      <c r="J126" s="1022">
        <f>J93+J72+J39+J27+J16+J15+J14+J36+J41+J42+J44</f>
        <v>22836000</v>
      </c>
      <c r="K126" s="910"/>
      <c r="L126" s="362"/>
      <c r="M126" s="913"/>
      <c r="N126" s="563"/>
      <c r="O126" s="788"/>
      <c r="P126" s="902">
        <f>P93+P72+P39+P27+P16+P15+P14+P81+P82+P83+P87</f>
        <v>9515000</v>
      </c>
      <c r="Q126" s="924"/>
      <c r="R126" s="363"/>
      <c r="S126" s="902">
        <f>S93+S72+S39+S27+S16+S15+S14+S105+S107</f>
        <v>2062500</v>
      </c>
      <c r="T126" s="121"/>
      <c r="U126" s="930"/>
      <c r="V126" s="768"/>
      <c r="W126" s="768"/>
      <c r="X126" s="768"/>
      <c r="Y126" s="768"/>
      <c r="Z126" s="768"/>
      <c r="AA126" s="768"/>
      <c r="AB126" s="768"/>
      <c r="AC126" s="768"/>
      <c r="AD126" s="768"/>
      <c r="AE126" s="768"/>
      <c r="AF126" s="768"/>
      <c r="AG126" s="768"/>
      <c r="AH126" s="768"/>
      <c r="AI126" s="768"/>
      <c r="AJ126" s="768"/>
      <c r="AK126" s="768"/>
      <c r="AL126" s="768"/>
      <c r="AM126" s="768"/>
      <c r="AN126" s="768"/>
      <c r="AO126" s="768"/>
      <c r="AP126" s="768"/>
    </row>
    <row r="127" spans="1:42" s="770" customFormat="1" ht="15" customHeight="1" thickBot="1">
      <c r="A127" s="885"/>
      <c r="B127" s="905"/>
      <c r="C127" s="195"/>
      <c r="D127" s="906">
        <f>D125+D126</f>
        <v>60167300</v>
      </c>
      <c r="E127" s="910"/>
      <c r="F127" s="362"/>
      <c r="G127" s="906">
        <f>G125+G126</f>
        <v>39168200</v>
      </c>
      <c r="H127" s="910"/>
      <c r="I127" s="362"/>
      <c r="J127" s="906">
        <f>J125+J126</f>
        <v>57472800</v>
      </c>
      <c r="K127" s="910"/>
      <c r="L127" s="362"/>
      <c r="M127" s="913"/>
      <c r="N127" s="918"/>
      <c r="O127" s="788"/>
      <c r="P127" s="906">
        <f>P125+P126</f>
        <v>50666000</v>
      </c>
      <c r="Q127" s="924"/>
      <c r="R127" s="363"/>
      <c r="S127" s="906">
        <f>S125+S126</f>
        <v>18315000</v>
      </c>
      <c r="T127" s="928"/>
      <c r="U127" s="931"/>
      <c r="V127" s="768"/>
      <c r="W127" s="768"/>
      <c r="X127" s="768"/>
      <c r="Y127" s="768"/>
      <c r="Z127" s="768"/>
      <c r="AA127" s="768"/>
      <c r="AB127" s="768"/>
      <c r="AC127" s="768"/>
      <c r="AD127" s="768"/>
      <c r="AE127" s="768"/>
      <c r="AF127" s="768"/>
      <c r="AG127" s="768"/>
      <c r="AH127" s="768"/>
      <c r="AI127" s="768"/>
      <c r="AJ127" s="768"/>
      <c r="AK127" s="768"/>
      <c r="AL127" s="768"/>
      <c r="AM127" s="768"/>
      <c r="AN127" s="768"/>
      <c r="AO127" s="768"/>
      <c r="AP127" s="768"/>
    </row>
    <row r="128" spans="1:42" s="772" customFormat="1" ht="9.75">
      <c r="A128" s="771"/>
      <c r="O128" s="773"/>
      <c r="V128" s="768"/>
      <c r="W128" s="768"/>
      <c r="X128" s="768"/>
      <c r="Y128" s="768"/>
      <c r="Z128" s="768"/>
      <c r="AA128" s="768"/>
      <c r="AB128" s="768"/>
      <c r="AC128" s="768"/>
      <c r="AD128" s="768"/>
      <c r="AE128" s="768"/>
      <c r="AF128" s="768"/>
      <c r="AG128" s="768"/>
      <c r="AH128" s="768"/>
      <c r="AI128" s="768"/>
      <c r="AJ128" s="768"/>
      <c r="AK128" s="768"/>
      <c r="AL128" s="768"/>
      <c r="AM128" s="768"/>
      <c r="AN128" s="768"/>
      <c r="AO128" s="768"/>
      <c r="AP128" s="768"/>
    </row>
    <row r="129" spans="1:42" s="15" customFormat="1" ht="15.75">
      <c r="A129"/>
      <c r="O129" s="35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</row>
    <row r="130" spans="1:42" s="15" customFormat="1" ht="15.75">
      <c r="A130"/>
      <c r="O130" s="35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</row>
    <row r="131" spans="1:42" s="772" customFormat="1" ht="9.75">
      <c r="A131" s="1091"/>
      <c r="B131" s="1090">
        <f>B118-B119</f>
        <v>0</v>
      </c>
      <c r="O131" s="773"/>
      <c r="T131" s="1090"/>
      <c r="V131" s="1092"/>
      <c r="W131" s="1092"/>
      <c r="X131" s="1092"/>
      <c r="Y131" s="1092"/>
      <c r="Z131" s="1092"/>
      <c r="AA131" s="1092"/>
      <c r="AB131" s="1092"/>
      <c r="AC131" s="1092"/>
      <c r="AD131" s="1092"/>
      <c r="AE131" s="1092"/>
      <c r="AF131" s="1092"/>
      <c r="AG131" s="1092"/>
      <c r="AH131" s="1092"/>
      <c r="AI131" s="1092"/>
      <c r="AJ131" s="1092"/>
      <c r="AK131" s="1092"/>
      <c r="AL131" s="1092"/>
      <c r="AM131" s="1092"/>
      <c r="AN131" s="1092"/>
      <c r="AO131" s="1092"/>
      <c r="AP131" s="1092"/>
    </row>
    <row r="132" spans="1:42" s="15" customFormat="1" ht="15.75">
      <c r="A132"/>
      <c r="O132" s="35"/>
      <c r="T132" s="772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</row>
    <row r="133" spans="1:42" s="15" customFormat="1" ht="15.75">
      <c r="A133"/>
      <c r="O133" s="35"/>
      <c r="T133" s="1090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</row>
    <row r="134" spans="1:42" s="15" customFormat="1" ht="15.75">
      <c r="A134"/>
      <c r="B134" s="772">
        <v>8250000</v>
      </c>
      <c r="O134" s="35"/>
      <c r="T134" s="1090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</row>
    <row r="135" spans="1:42" s="15" customFormat="1" ht="15.75">
      <c r="A135"/>
      <c r="B135" s="772">
        <v>5940000</v>
      </c>
      <c r="O135" s="35"/>
      <c r="T135" s="1090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</row>
    <row r="136" spans="1:42" s="15" customFormat="1" ht="15.75">
      <c r="A136"/>
      <c r="B136" s="772">
        <f>SUM(B134:B135)</f>
        <v>14190000</v>
      </c>
      <c r="O136" s="35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</row>
    <row r="137" spans="1:42" s="15" customFormat="1" ht="15.75">
      <c r="A137"/>
      <c r="B137" s="772"/>
      <c r="O137" s="35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</row>
    <row r="138" spans="1:42" s="15" customFormat="1" ht="15.75">
      <c r="A138"/>
      <c r="O138" s="35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</row>
    <row r="139" spans="1:42" s="15" customFormat="1" ht="15.75">
      <c r="A139"/>
      <c r="O139" s="35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</row>
    <row r="140" spans="1:42" s="15" customFormat="1" ht="15.75">
      <c r="A140"/>
      <c r="O140" s="35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</row>
    <row r="141" spans="1:42" s="15" customFormat="1" ht="15.75">
      <c r="A141"/>
      <c r="O141" s="35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</row>
    <row r="142" spans="1:42" s="15" customFormat="1" ht="57.75" customHeight="1">
      <c r="A142"/>
      <c r="O142" s="35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</row>
    <row r="143" spans="1:42" s="15" customFormat="1" ht="15.75">
      <c r="A143"/>
      <c r="O143" s="35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</row>
    <row r="144" spans="1:42" s="15" customFormat="1" ht="15.75">
      <c r="A144"/>
      <c r="O144" s="35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</row>
    <row r="145" spans="1:42" s="15" customFormat="1" ht="15.75">
      <c r="A145"/>
      <c r="O145" s="35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</row>
    <row r="146" spans="1:42" s="15" customFormat="1" ht="15.75">
      <c r="A146"/>
      <c r="O146" s="35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</row>
    <row r="147" spans="1:42" s="15" customFormat="1" ht="15.75">
      <c r="A147"/>
      <c r="O147" s="35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</row>
    <row r="148" spans="1:42" s="15" customFormat="1" ht="15.75">
      <c r="A148"/>
      <c r="O148" s="35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</row>
    <row r="149" spans="1:42" s="15" customFormat="1" ht="15.75">
      <c r="A149"/>
      <c r="O149" s="35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</row>
    <row r="150" spans="1:42" s="15" customFormat="1" ht="15.75">
      <c r="A150"/>
      <c r="O150" s="35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</row>
    <row r="151" spans="1:42" s="15" customFormat="1" ht="15.75">
      <c r="A151"/>
      <c r="O151" s="35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</row>
    <row r="152" spans="1:42" s="15" customFormat="1" ht="15.75">
      <c r="A152"/>
      <c r="O152" s="35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</row>
    <row r="153" spans="1:42" s="15" customFormat="1" ht="15.75">
      <c r="A153"/>
      <c r="O153" s="35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</row>
    <row r="154" spans="1:42" s="15" customFormat="1" ht="15.75">
      <c r="A154"/>
      <c r="O154" s="35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</row>
    <row r="155" spans="1:42" s="15" customFormat="1" ht="15.75">
      <c r="A155"/>
      <c r="O155" s="35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</row>
    <row r="156" spans="1:42" s="15" customFormat="1" ht="15.75">
      <c r="A156"/>
      <c r="O156" s="35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</row>
    <row r="157" spans="1:42" s="15" customFormat="1" ht="15.75">
      <c r="A157"/>
      <c r="O157" s="35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</row>
    <row r="158" spans="1:42" s="15" customFormat="1" ht="15.75">
      <c r="A158"/>
      <c r="O158" s="35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</row>
    <row r="159" spans="1:42" s="15" customFormat="1" ht="15.75">
      <c r="A159"/>
      <c r="O159" s="35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</row>
    <row r="160" spans="1:42" s="15" customFormat="1" ht="15.75">
      <c r="A160"/>
      <c r="O160" s="35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</row>
    <row r="161" spans="1:42" s="15" customFormat="1" ht="15.75">
      <c r="A161"/>
      <c r="O161" s="35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</row>
    <row r="162" spans="1:42" s="16" customFormat="1" ht="15.75">
      <c r="A162"/>
      <c r="O162" s="135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</row>
    <row r="163" spans="1:42" s="15" customFormat="1" ht="15.75">
      <c r="A163"/>
      <c r="O163" s="35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</row>
    <row r="164" spans="1:42" s="15" customFormat="1" ht="15.75">
      <c r="A164"/>
      <c r="O164" s="35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</row>
    <row r="165" spans="1:42" s="15" customFormat="1" ht="15.75">
      <c r="A165"/>
      <c r="O165" s="35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</row>
    <row r="166" spans="1:42" s="15" customFormat="1" ht="15.75">
      <c r="A166"/>
      <c r="O166" s="35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</row>
    <row r="167" spans="1:42" s="15" customFormat="1" ht="15.75">
      <c r="A167"/>
      <c r="O167" s="35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</row>
    <row r="168" spans="1:42" s="15" customFormat="1" ht="15.75">
      <c r="A168"/>
      <c r="O168" s="35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</row>
    <row r="169" spans="1:42" s="15" customFormat="1" ht="15.75">
      <c r="A169"/>
      <c r="O169" s="35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</row>
    <row r="170" spans="1:42" s="15" customFormat="1" ht="15.75">
      <c r="A170"/>
      <c r="O170" s="35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</row>
    <row r="171" spans="1:42" s="15" customFormat="1" ht="15.75">
      <c r="A171"/>
      <c r="O171" s="35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</row>
    <row r="172" spans="1:42" s="15" customFormat="1" ht="15.75">
      <c r="A172"/>
      <c r="O172" s="35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</row>
    <row r="173" spans="1:42" s="15" customFormat="1" ht="15.75">
      <c r="A173"/>
      <c r="O173" s="35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</row>
    <row r="174" spans="1:42" s="15" customFormat="1" ht="15.75">
      <c r="A174"/>
      <c r="O174" s="35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</row>
    <row r="175" spans="1:42" s="15" customFormat="1" ht="15.75">
      <c r="A175"/>
      <c r="O175" s="35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</row>
    <row r="176" spans="1:42" s="15" customFormat="1" ht="15.75">
      <c r="A176"/>
      <c r="O176" s="35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</row>
    <row r="177" spans="1:42" s="15" customFormat="1" ht="15.75">
      <c r="A177"/>
      <c r="O177" s="35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</row>
    <row r="178" spans="1:42" s="15" customFormat="1" ht="15.75">
      <c r="A178"/>
      <c r="O178" s="35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</row>
    <row r="179" spans="1:42" s="15" customFormat="1" ht="15.75">
      <c r="A179"/>
      <c r="O179" s="35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</row>
    <row r="180" spans="1:42" s="15" customFormat="1" ht="15.75">
      <c r="A180"/>
      <c r="O180" s="35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</row>
    <row r="181" spans="1:42" s="15" customFormat="1" ht="15.75">
      <c r="A181"/>
      <c r="O181" s="35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</row>
    <row r="182" spans="1:42" s="15" customFormat="1" ht="15.75">
      <c r="A182"/>
      <c r="O182" s="35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</row>
    <row r="183" spans="1:42" s="15" customFormat="1" ht="15.75">
      <c r="A183"/>
      <c r="O183" s="35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</row>
    <row r="184" spans="1:42" s="15" customFormat="1" ht="15.75">
      <c r="A184"/>
      <c r="O184" s="35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</row>
    <row r="185" spans="1:42" s="15" customFormat="1" ht="15.75">
      <c r="A185"/>
      <c r="O185" s="35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</row>
    <row r="186" spans="1:42" s="15" customFormat="1" ht="15.75">
      <c r="A186"/>
      <c r="O186" s="35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</row>
    <row r="187" spans="1:42" s="15" customFormat="1" ht="15.75">
      <c r="A187"/>
      <c r="O187" s="35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</row>
    <row r="188" spans="1:42" s="15" customFormat="1" ht="15.75">
      <c r="A188"/>
      <c r="O188" s="35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</row>
    <row r="189" spans="1:42" s="15" customFormat="1" ht="15.75">
      <c r="A189"/>
      <c r="O189" s="35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</row>
    <row r="190" spans="1:42" s="15" customFormat="1" ht="15.75">
      <c r="A190"/>
      <c r="O190" s="35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</row>
    <row r="191" spans="1:42" s="15" customFormat="1" ht="15.75">
      <c r="A191"/>
      <c r="O191" s="35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</row>
    <row r="192" spans="1:42" s="15" customFormat="1" ht="15.75">
      <c r="A192"/>
      <c r="O192" s="35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</row>
    <row r="193" spans="1:42" s="15" customFormat="1" ht="15.75">
      <c r="A193"/>
      <c r="O193" s="35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</row>
    <row r="194" spans="1:42" s="15" customFormat="1" ht="15.75">
      <c r="A194"/>
      <c r="O194" s="35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</row>
    <row r="195" spans="1:42" s="15" customFormat="1" ht="15.75">
      <c r="A195"/>
      <c r="O195" s="35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</row>
    <row r="196" spans="1:42" s="15" customFormat="1" ht="15.75">
      <c r="A196"/>
      <c r="O196" s="35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</row>
    <row r="197" spans="1:42" s="15" customFormat="1" ht="15.75">
      <c r="A197"/>
      <c r="O197" s="35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</row>
    <row r="198" spans="1:42" s="15" customFormat="1" ht="15.75">
      <c r="A198"/>
      <c r="O198" s="35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</row>
    <row r="199" spans="1:42" s="15" customFormat="1" ht="15.75">
      <c r="A199"/>
      <c r="O199" s="35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</row>
    <row r="200" spans="1:42" s="15" customFormat="1" ht="15.75">
      <c r="A200"/>
      <c r="O200" s="35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</row>
    <row r="201" spans="1:42" s="15" customFormat="1" ht="15.75">
      <c r="A201"/>
      <c r="O201" s="35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</row>
    <row r="202" spans="1:42" s="15" customFormat="1" ht="5.25" customHeight="1">
      <c r="A202"/>
      <c r="O202" s="35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</row>
    <row r="203" spans="1:42" s="17" customFormat="1" ht="14.25" customHeight="1">
      <c r="A203"/>
      <c r="O203" s="3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</row>
    <row r="204" spans="1:42" s="17" customFormat="1" ht="14.25" customHeight="1">
      <c r="A204"/>
      <c r="O204" s="3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</row>
    <row r="205" ht="12" customHeight="1">
      <c r="A205"/>
    </row>
    <row r="206" spans="1:42" s="15" customFormat="1" ht="15.75">
      <c r="A206"/>
      <c r="O206" s="35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</row>
    <row r="207" spans="1:42" s="15" customFormat="1" ht="15.75">
      <c r="A207"/>
      <c r="O207" s="35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</row>
    <row r="208" spans="1:42" s="15" customFormat="1" ht="15.75">
      <c r="A208"/>
      <c r="O208" s="35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</row>
    <row r="209" spans="1:42" s="15" customFormat="1" ht="15.75">
      <c r="A209"/>
      <c r="O209" s="35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</row>
    <row r="210" spans="1:42" s="15" customFormat="1" ht="15.75">
      <c r="A210"/>
      <c r="O210" s="35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</row>
    <row r="211" spans="1:42" s="15" customFormat="1" ht="15.75">
      <c r="A211"/>
      <c r="O211" s="35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</row>
    <row r="212" spans="1:42" s="15" customFormat="1" ht="15.75">
      <c r="A212"/>
      <c r="O212" s="35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</row>
    <row r="213" spans="1:42" s="15" customFormat="1" ht="15.75">
      <c r="A213"/>
      <c r="O213" s="35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</row>
    <row r="214" spans="1:42" s="15" customFormat="1" ht="15.75">
      <c r="A214"/>
      <c r="O214" s="35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</row>
    <row r="215" spans="1:42" s="15" customFormat="1" ht="15.75">
      <c r="A215"/>
      <c r="O215" s="35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</row>
    <row r="216" spans="1:42" s="15" customFormat="1" ht="15.75">
      <c r="A216"/>
      <c r="O216" s="35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</row>
    <row r="217" spans="1:42" s="15" customFormat="1" ht="15.75">
      <c r="A217"/>
      <c r="O217" s="35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</row>
    <row r="218" spans="1:42" s="15" customFormat="1" ht="15.75">
      <c r="A218"/>
      <c r="O218" s="35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</row>
    <row r="219" spans="1:42" s="15" customFormat="1" ht="15.75">
      <c r="A219"/>
      <c r="O219" s="35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</row>
    <row r="220" spans="1:42" s="15" customFormat="1" ht="15.75">
      <c r="A220"/>
      <c r="O220" s="35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</row>
    <row r="221" spans="1:42" s="15" customFormat="1" ht="15.75">
      <c r="A221"/>
      <c r="O221" s="35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</row>
    <row r="222" spans="1:42" s="17" customFormat="1" ht="14.25" customHeight="1">
      <c r="A222"/>
      <c r="O222" s="3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</row>
    <row r="223" ht="12" customHeight="1">
      <c r="A223"/>
    </row>
    <row r="224" spans="1:42" s="15" customFormat="1" ht="21" customHeight="1">
      <c r="A224"/>
      <c r="O224" s="35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</row>
    <row r="225" spans="1:42" s="15" customFormat="1" ht="15.75">
      <c r="A225"/>
      <c r="O225" s="35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</row>
    <row r="226" spans="1:42" s="15" customFormat="1" ht="15.75">
      <c r="A226"/>
      <c r="O226" s="35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</row>
    <row r="227" spans="1:42" s="15" customFormat="1" ht="15.75">
      <c r="A227"/>
      <c r="O227" s="35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</row>
    <row r="228" spans="1:42" s="15" customFormat="1" ht="15.75">
      <c r="A228"/>
      <c r="O228" s="35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</row>
    <row r="229" spans="1:42" s="15" customFormat="1" ht="15.75">
      <c r="A229"/>
      <c r="O229" s="35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</row>
    <row r="230" spans="1:42" s="15" customFormat="1" ht="15.75">
      <c r="A230"/>
      <c r="O230" s="35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</row>
    <row r="231" spans="1:42" s="15" customFormat="1" ht="15.75">
      <c r="A231"/>
      <c r="O231" s="35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</row>
    <row r="232" spans="1:42" s="15" customFormat="1" ht="15.75">
      <c r="A232"/>
      <c r="O232" s="35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</row>
    <row r="233" spans="1:42" s="15" customFormat="1" ht="15.75">
      <c r="A233"/>
      <c r="O233" s="35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</row>
    <row r="234" spans="1:42" s="15" customFormat="1" ht="15.75">
      <c r="A234"/>
      <c r="O234" s="35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</row>
    <row r="235" spans="1:42" s="15" customFormat="1" ht="15.75">
      <c r="A235"/>
      <c r="O235" s="35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</row>
    <row r="236" spans="1:42" s="15" customFormat="1" ht="15.75">
      <c r="A236"/>
      <c r="O236" s="35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</row>
    <row r="237" spans="1:42" s="15" customFormat="1" ht="15.75">
      <c r="A237"/>
      <c r="O237" s="35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</row>
    <row r="238" spans="1:42" s="15" customFormat="1" ht="15.75">
      <c r="A238"/>
      <c r="O238" s="35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</row>
    <row r="239" spans="1:42" s="15" customFormat="1" ht="15.75">
      <c r="A239"/>
      <c r="O239" s="35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</row>
    <row r="240" spans="1:42" s="15" customFormat="1" ht="15.75">
      <c r="A240"/>
      <c r="O240" s="35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</row>
    <row r="241" spans="1:42" s="15" customFormat="1" ht="15.75">
      <c r="A241"/>
      <c r="O241" s="35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</row>
    <row r="242" spans="1:42" s="15" customFormat="1" ht="15.75">
      <c r="A242"/>
      <c r="O242" s="35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</row>
    <row r="243" spans="1:42" s="15" customFormat="1" ht="15.75">
      <c r="A243"/>
      <c r="O243" s="35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</row>
    <row r="244" spans="1:42" s="15" customFormat="1" ht="15.75">
      <c r="A244"/>
      <c r="O244" s="35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</row>
    <row r="245" ht="15.75">
      <c r="A245"/>
    </row>
    <row r="246" ht="15.75">
      <c r="A246"/>
    </row>
    <row r="247" spans="1:42" s="17" customFormat="1" ht="14.25" customHeight="1">
      <c r="A247"/>
      <c r="O247" s="3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</row>
    <row r="248" spans="1:42" s="17" customFormat="1" ht="14.25" customHeight="1">
      <c r="A248"/>
      <c r="O248" s="3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</row>
    <row r="249" spans="1:42" s="15" customFormat="1" ht="15.75">
      <c r="A249"/>
      <c r="O249" s="35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</row>
    <row r="250" spans="1:42" s="15" customFormat="1" ht="21" customHeight="1">
      <c r="A250"/>
      <c r="O250" s="35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</row>
    <row r="251" spans="1:42" s="15" customFormat="1" ht="15.75">
      <c r="A251"/>
      <c r="O251" s="35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</row>
    <row r="252" spans="1:42" s="15" customFormat="1" ht="15.75">
      <c r="A252"/>
      <c r="O252" s="35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</row>
    <row r="253" spans="1:42" s="15" customFormat="1" ht="15.75">
      <c r="A253"/>
      <c r="O253" s="35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</row>
    <row r="254" spans="1:42" s="15" customFormat="1" ht="15.75">
      <c r="A254"/>
      <c r="O254" s="35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</row>
    <row r="255" spans="1:42" s="15" customFormat="1" ht="15.75">
      <c r="A255"/>
      <c r="O255" s="35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</row>
    <row r="256" spans="1:42" s="15" customFormat="1" ht="15.75">
      <c r="A256"/>
      <c r="O256" s="35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</row>
    <row r="257" spans="1:42" s="15" customFormat="1" ht="15.75">
      <c r="A257"/>
      <c r="O257" s="35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</row>
    <row r="258" spans="1:42" s="15" customFormat="1" ht="15.75">
      <c r="A258"/>
      <c r="O258" s="35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</row>
    <row r="259" spans="1:42" s="15" customFormat="1" ht="15.75">
      <c r="A259"/>
      <c r="O259" s="35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</row>
    <row r="260" spans="1:42" s="17" customFormat="1" ht="14.25" customHeight="1">
      <c r="A260"/>
      <c r="O260" s="3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</row>
    <row r="261" spans="1:42" s="17" customFormat="1" ht="14.25" customHeight="1">
      <c r="A261"/>
      <c r="O261" s="3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</row>
    <row r="262" ht="4.5" customHeight="1">
      <c r="A262"/>
    </row>
    <row r="263" spans="1:42" s="37" customFormat="1" ht="18.75" customHeight="1">
      <c r="A263"/>
      <c r="O263" s="13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</row>
    <row r="264" spans="1:42" s="18" customFormat="1" ht="12.75">
      <c r="A264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37"/>
      <c r="P264" s="19"/>
      <c r="Q264" s="20"/>
      <c r="R264" s="20"/>
      <c r="S264" s="20"/>
      <c r="T264" s="20"/>
      <c r="U264" s="30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</row>
    <row r="265" spans="1:42" s="18" customFormat="1" ht="12.75">
      <c r="A265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37"/>
      <c r="P265" s="19"/>
      <c r="Q265" s="20"/>
      <c r="R265" s="20"/>
      <c r="S265" s="20"/>
      <c r="T265" s="20"/>
      <c r="U265" s="30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</row>
    <row r="266" spans="1:42" s="18" customFormat="1" ht="12.75">
      <c r="A266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37"/>
      <c r="P266" s="19"/>
      <c r="U266" s="31" t="s">
        <v>21</v>
      </c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</row>
    <row r="267" spans="1:42" s="18" customFormat="1" ht="12.75">
      <c r="A267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37"/>
      <c r="P267" s="19"/>
      <c r="U267" s="30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</row>
    <row r="268" spans="1:42" s="18" customFormat="1" ht="12.75">
      <c r="A268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37"/>
      <c r="P268" s="19"/>
      <c r="U268" s="30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</row>
    <row r="269" spans="1:42" s="18" customFormat="1" ht="12.75">
      <c r="A26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37"/>
      <c r="P269" s="19"/>
      <c r="U269" s="30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</row>
    <row r="270" spans="1:42" s="18" customFormat="1" ht="12.75">
      <c r="A270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37"/>
      <c r="P270" s="19"/>
      <c r="U270" s="30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</row>
    <row r="271" spans="1:42" s="18" customFormat="1" ht="12.75">
      <c r="A271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37"/>
      <c r="P271" s="19"/>
      <c r="U271" s="30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</row>
    <row r="272" spans="1:42" s="18" customFormat="1" ht="12.75">
      <c r="A272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37"/>
      <c r="P272" s="19"/>
      <c r="U272" s="30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</row>
    <row r="273" spans="1:42" s="18" customFormat="1" ht="12.75">
      <c r="A273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37"/>
      <c r="P273" s="19"/>
      <c r="U273" s="30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</row>
    <row r="274" spans="1:42" s="18" customFormat="1" ht="12.75">
      <c r="A274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37"/>
      <c r="P274" s="19"/>
      <c r="U274" s="30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</row>
    <row r="275" spans="1:42" s="18" customFormat="1" ht="12.75">
      <c r="A275"/>
      <c r="E275" s="19"/>
      <c r="F275" s="19"/>
      <c r="G275" s="19"/>
      <c r="H275" s="19"/>
      <c r="I275" s="19"/>
      <c r="J275" s="19"/>
      <c r="K275" s="19"/>
      <c r="L275" s="19"/>
      <c r="M275" s="19"/>
      <c r="N275" s="23"/>
      <c r="O275" s="138"/>
      <c r="P275" s="23"/>
      <c r="U275" s="30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</row>
    <row r="276" spans="1:42" s="18" customFormat="1" ht="12.75">
      <c r="A276"/>
      <c r="E276" s="19"/>
      <c r="F276" s="19"/>
      <c r="G276" s="19"/>
      <c r="H276" s="19"/>
      <c r="I276" s="19"/>
      <c r="J276" s="19"/>
      <c r="K276" s="19"/>
      <c r="L276" s="19"/>
      <c r="M276" s="19"/>
      <c r="N276" s="23"/>
      <c r="O276" s="138"/>
      <c r="P276" s="23"/>
      <c r="U276" s="30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</row>
    <row r="277" spans="1:42" s="18" customFormat="1" ht="12.75">
      <c r="A277"/>
      <c r="E277" s="19"/>
      <c r="F277" s="19"/>
      <c r="G277" s="19"/>
      <c r="H277" s="19"/>
      <c r="I277" s="19"/>
      <c r="J277" s="19"/>
      <c r="K277" s="19"/>
      <c r="L277" s="19"/>
      <c r="M277" s="19"/>
      <c r="N277" s="23"/>
      <c r="O277" s="138"/>
      <c r="P277" s="23"/>
      <c r="U277" s="30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</row>
    <row r="278" spans="1:42" s="18" customFormat="1" ht="12.75">
      <c r="A278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37"/>
      <c r="P278" s="19"/>
      <c r="U278" s="30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</row>
    <row r="279" spans="1:42" s="18" customFormat="1" ht="12.75">
      <c r="A27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37"/>
      <c r="P279" s="19"/>
      <c r="U279" s="30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</row>
    <row r="280" spans="1:42" s="18" customFormat="1" ht="12.75">
      <c r="A280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37"/>
      <c r="P280" s="19"/>
      <c r="U280" s="30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</row>
    <row r="281" spans="1:42" s="18" customFormat="1" ht="12.75">
      <c r="A281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37"/>
      <c r="P281" s="19"/>
      <c r="U281" s="30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</row>
    <row r="282" spans="1:42" s="18" customFormat="1" ht="12.75">
      <c r="A282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37"/>
      <c r="P282" s="19"/>
      <c r="U282" s="30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</row>
    <row r="283" spans="1:42" s="18" customFormat="1" ht="12.75">
      <c r="A283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37"/>
      <c r="P283" s="19"/>
      <c r="U283" s="30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</row>
    <row r="284" spans="1:42" s="18" customFormat="1" ht="12.75">
      <c r="A284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37"/>
      <c r="P284" s="19"/>
      <c r="U284" s="30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</row>
    <row r="285" spans="1:42" s="18" customFormat="1" ht="12.75">
      <c r="A285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37"/>
      <c r="P285" s="19"/>
      <c r="U285" s="30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</row>
    <row r="286" spans="1:42" s="18" customFormat="1" ht="12.75">
      <c r="A286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37"/>
      <c r="P286" s="19"/>
      <c r="U286" s="30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</row>
    <row r="287" spans="1:42" s="18" customFormat="1" ht="12.75">
      <c r="A287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37"/>
      <c r="P287" s="19"/>
      <c r="U287" s="30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</row>
    <row r="288" spans="1:42" s="18" customFormat="1" ht="12.75">
      <c r="A288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37"/>
      <c r="P288" s="19"/>
      <c r="U288" s="30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</row>
    <row r="289" spans="1:42" s="18" customFormat="1" ht="12.75">
      <c r="A28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37"/>
      <c r="P289" s="19"/>
      <c r="U289" s="30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</row>
    <row r="290" spans="1:42" s="18" customFormat="1" ht="12.75">
      <c r="A290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37"/>
      <c r="P290" s="19"/>
      <c r="U290" s="30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</row>
    <row r="291" spans="1:42" s="18" customFormat="1" ht="12.75">
      <c r="A291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37"/>
      <c r="P291" s="19"/>
      <c r="U291" s="30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</row>
    <row r="292" spans="1:42" s="18" customFormat="1" ht="12.75">
      <c r="A292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37"/>
      <c r="P292" s="19"/>
      <c r="U292" s="30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</row>
    <row r="293" spans="1:42" s="18" customFormat="1" ht="12.75">
      <c r="A293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37"/>
      <c r="P293" s="19"/>
      <c r="U293" s="30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</row>
    <row r="294" spans="1:42" s="18" customFormat="1" ht="12.75">
      <c r="A294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37"/>
      <c r="P294" s="19"/>
      <c r="U294" s="30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</row>
    <row r="295" spans="5:42" s="18" customFormat="1" ht="12.75"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37"/>
      <c r="P295" s="19"/>
      <c r="U295" s="30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</row>
    <row r="296" spans="5:42" s="18" customFormat="1" ht="12.75"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37"/>
      <c r="P296" s="19"/>
      <c r="U296" s="30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</row>
    <row r="297" spans="5:42" s="18" customFormat="1" ht="12.75"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37"/>
      <c r="P297" s="19"/>
      <c r="U297" s="30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</row>
    <row r="298" spans="5:42" s="18" customFormat="1" ht="12.75"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37"/>
      <c r="P298" s="19"/>
      <c r="U298" s="30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</row>
    <row r="299" spans="5:42" s="18" customFormat="1" ht="12.75"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37"/>
      <c r="P299" s="19"/>
      <c r="U299" s="30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</row>
    <row r="300" spans="5:42" s="18" customFormat="1" ht="12.75"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37"/>
      <c r="P300" s="19"/>
      <c r="U300" s="30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</row>
    <row r="301" spans="5:42" s="18" customFormat="1" ht="12.75"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37"/>
      <c r="P301" s="19"/>
      <c r="U301" s="30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</row>
    <row r="302" spans="5:42" s="18" customFormat="1" ht="12.75"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37"/>
      <c r="P302" s="19"/>
      <c r="U302" s="30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</row>
    <row r="303" spans="5:42" s="18" customFormat="1" ht="12.75"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37"/>
      <c r="P303" s="19"/>
      <c r="U303" s="30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</row>
    <row r="304" spans="5:42" s="18" customFormat="1" ht="12.75"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37"/>
      <c r="P304" s="19"/>
      <c r="U304" s="30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</row>
    <row r="305" spans="5:42" s="18" customFormat="1" ht="12.75"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37"/>
      <c r="P305" s="19"/>
      <c r="U305" s="30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</row>
    <row r="306" spans="5:42" s="18" customFormat="1" ht="12.75"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37"/>
      <c r="P306" s="19"/>
      <c r="U306" s="30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</row>
    <row r="307" spans="5:42" s="18" customFormat="1" ht="12.75"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37"/>
      <c r="P307" s="19"/>
      <c r="U307" s="30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</row>
    <row r="308" spans="5:42" s="18" customFormat="1" ht="12.75"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37"/>
      <c r="P308" s="19"/>
      <c r="U308" s="30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</row>
    <row r="309" spans="5:42" s="18" customFormat="1" ht="12.75"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37"/>
      <c r="P309" s="19"/>
      <c r="U309" s="30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</row>
    <row r="310" spans="5:42" s="18" customFormat="1" ht="12.75"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37"/>
      <c r="P310" s="19"/>
      <c r="U310" s="30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</row>
    <row r="311" spans="5:42" s="18" customFormat="1" ht="12.75"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37"/>
      <c r="P311" s="19"/>
      <c r="U311" s="30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</row>
    <row r="312" spans="5:42" s="18" customFormat="1" ht="12.75"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37"/>
      <c r="P312" s="19"/>
      <c r="U312" s="30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</row>
    <row r="313" spans="5:42" s="18" customFormat="1" ht="12.75"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37"/>
      <c r="P313" s="19"/>
      <c r="U313" s="30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</row>
    <row r="314" spans="5:42" s="18" customFormat="1" ht="12.75"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37"/>
      <c r="P314" s="19"/>
      <c r="U314" s="30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</row>
    <row r="315" spans="5:42" s="18" customFormat="1" ht="12.75"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37"/>
      <c r="P315" s="19"/>
      <c r="U315" s="30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</row>
    <row r="316" spans="5:42" s="18" customFormat="1" ht="12.75"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37"/>
      <c r="P316" s="19"/>
      <c r="U316" s="30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</row>
    <row r="317" spans="5:42" s="18" customFormat="1" ht="12.75"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37"/>
      <c r="P317" s="19"/>
      <c r="U317" s="30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</row>
    <row r="318" spans="5:42" s="18" customFormat="1" ht="12.75"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37"/>
      <c r="P318" s="19"/>
      <c r="U318" s="30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</row>
    <row r="319" spans="5:42" s="18" customFormat="1" ht="12.75"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37"/>
      <c r="P319" s="19"/>
      <c r="U319" s="30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</row>
    <row r="320" spans="5:42" s="18" customFormat="1" ht="12.75"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37"/>
      <c r="P320" s="19"/>
      <c r="U320" s="30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</row>
    <row r="321" spans="5:42" s="18" customFormat="1" ht="12.75"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37"/>
      <c r="P321" s="19"/>
      <c r="U321" s="30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</row>
    <row r="322" spans="5:42" s="18" customFormat="1" ht="12.75"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37"/>
      <c r="P322" s="19"/>
      <c r="U322" s="30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</row>
    <row r="323" spans="5:42" s="18" customFormat="1" ht="12.75"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37"/>
      <c r="P323" s="19"/>
      <c r="U323" s="30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</row>
    <row r="324" spans="5:42" s="18" customFormat="1" ht="12.75"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37"/>
      <c r="P324" s="19"/>
      <c r="U324" s="30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</row>
    <row r="325" spans="5:42" s="18" customFormat="1" ht="12.75"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37"/>
      <c r="P325" s="19"/>
      <c r="U325" s="30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</row>
    <row r="326" spans="5:42" s="18" customFormat="1" ht="12.75"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37"/>
      <c r="P326" s="19"/>
      <c r="U326" s="30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</row>
    <row r="327" spans="5:42" s="18" customFormat="1" ht="12.75"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37"/>
      <c r="P327" s="19"/>
      <c r="U327" s="30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</row>
    <row r="328" spans="5:42" s="18" customFormat="1" ht="12.75"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37"/>
      <c r="P328" s="19"/>
      <c r="U328" s="30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</row>
    <row r="329" spans="5:42" s="18" customFormat="1" ht="12.75"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37"/>
      <c r="P329" s="19"/>
      <c r="U329" s="30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</row>
    <row r="330" spans="5:42" s="18" customFormat="1" ht="12.75"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37"/>
      <c r="P330" s="19"/>
      <c r="U330" s="30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</row>
    <row r="331" spans="5:42" s="18" customFormat="1" ht="12.75"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37"/>
      <c r="P331" s="19"/>
      <c r="U331" s="30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</row>
    <row r="332" spans="5:42" s="18" customFormat="1" ht="12.75"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37"/>
      <c r="P332" s="19"/>
      <c r="U332" s="30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</row>
    <row r="333" spans="5:42" s="18" customFormat="1" ht="12.75"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37"/>
      <c r="P333" s="19"/>
      <c r="U333" s="30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</row>
    <row r="334" spans="5:42" s="18" customFormat="1" ht="12.75"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37"/>
      <c r="P334" s="19"/>
      <c r="U334" s="30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</row>
    <row r="335" spans="5:42" s="18" customFormat="1" ht="12.75"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37"/>
      <c r="P335" s="19"/>
      <c r="U335" s="30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</row>
    <row r="336" spans="5:42" s="18" customFormat="1" ht="12.75"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37"/>
      <c r="P336" s="19"/>
      <c r="U336" s="30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</row>
    <row r="337" spans="5:42" s="18" customFormat="1" ht="12.75"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37"/>
      <c r="P337" s="19"/>
      <c r="U337" s="30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</row>
    <row r="338" spans="5:42" s="18" customFormat="1" ht="12.75"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37"/>
      <c r="P338" s="19"/>
      <c r="U338" s="30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</row>
    <row r="339" spans="5:42" s="18" customFormat="1" ht="12.75"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37"/>
      <c r="P339" s="19"/>
      <c r="U339" s="30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</row>
    <row r="340" spans="5:42" s="18" customFormat="1" ht="12.75"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37"/>
      <c r="P340" s="19"/>
      <c r="U340" s="30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</row>
    <row r="341" spans="5:42" s="18" customFormat="1" ht="12.75"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37"/>
      <c r="P341" s="19"/>
      <c r="U341" s="30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</row>
    <row r="342" spans="5:42" s="18" customFormat="1" ht="12.75"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37"/>
      <c r="P342" s="19"/>
      <c r="U342" s="30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</row>
    <row r="343" spans="5:42" s="18" customFormat="1" ht="12.75"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37"/>
      <c r="P343" s="19"/>
      <c r="U343" s="30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</row>
    <row r="344" spans="5:42" s="18" customFormat="1" ht="12.75"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37"/>
      <c r="P344" s="19"/>
      <c r="U344" s="30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</row>
    <row r="345" spans="5:42" s="18" customFormat="1" ht="12.75"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37"/>
      <c r="P345" s="19"/>
      <c r="U345" s="30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</row>
    <row r="346" spans="5:42" s="18" customFormat="1" ht="12.75"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37"/>
      <c r="P346" s="19"/>
      <c r="U346" s="30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</row>
    <row r="347" spans="5:42" s="18" customFormat="1" ht="12.75"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37"/>
      <c r="P347" s="19"/>
      <c r="U347" s="30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</row>
    <row r="348" spans="5:42" s="18" customFormat="1" ht="12.75"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37"/>
      <c r="P348" s="19"/>
      <c r="U348" s="30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</row>
    <row r="349" spans="5:42" s="18" customFormat="1" ht="12.75"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37"/>
      <c r="P349" s="19"/>
      <c r="U349" s="30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</row>
    <row r="350" spans="5:42" s="18" customFormat="1" ht="12.75"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37"/>
      <c r="P350" s="19"/>
      <c r="U350" s="30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</row>
    <row r="351" spans="5:42" s="18" customFormat="1" ht="12.75"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37"/>
      <c r="P351" s="19"/>
      <c r="U351" s="30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</row>
    <row r="352" spans="5:42" s="18" customFormat="1" ht="12.75"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37"/>
      <c r="P352" s="19"/>
      <c r="U352" s="30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</row>
    <row r="353" spans="5:42" s="18" customFormat="1" ht="12.75"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37"/>
      <c r="P353" s="19"/>
      <c r="U353" s="30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</row>
    <row r="354" spans="5:42" s="18" customFormat="1" ht="12.75"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37"/>
      <c r="P354" s="19"/>
      <c r="U354" s="30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</row>
    <row r="355" spans="5:42" s="18" customFormat="1" ht="12.75"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37"/>
      <c r="P355" s="19"/>
      <c r="U355" s="30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</row>
    <row r="356" spans="5:42" s="18" customFormat="1" ht="12.75"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37"/>
      <c r="P356" s="19"/>
      <c r="U356" s="30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</row>
    <row r="357" spans="5:42" s="18" customFormat="1" ht="12.75"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37"/>
      <c r="P357" s="19"/>
      <c r="U357" s="30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</row>
    <row r="358" spans="5:42" s="18" customFormat="1" ht="12.75"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37"/>
      <c r="P358" s="19"/>
      <c r="U358" s="30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</row>
    <row r="359" spans="5:42" s="18" customFormat="1" ht="12.75"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37"/>
      <c r="P359" s="19"/>
      <c r="U359" s="30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</row>
    <row r="360" spans="5:42" s="18" customFormat="1" ht="12.75"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37"/>
      <c r="P360" s="19"/>
      <c r="U360" s="30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</row>
    <row r="361" spans="5:42" s="18" customFormat="1" ht="12.75"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37"/>
      <c r="P361" s="19"/>
      <c r="U361" s="30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</row>
    <row r="362" spans="5:42" s="18" customFormat="1" ht="12.75"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37"/>
      <c r="P362" s="19"/>
      <c r="U362" s="30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</row>
    <row r="363" spans="5:42" s="18" customFormat="1" ht="12.75"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37"/>
      <c r="P363" s="19"/>
      <c r="U363" s="30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</row>
    <row r="364" spans="5:42" s="18" customFormat="1" ht="12.75"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37"/>
      <c r="P364" s="19"/>
      <c r="U364" s="30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</row>
    <row r="365" spans="5:42" s="18" customFormat="1" ht="12.75"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37"/>
      <c r="P365" s="19"/>
      <c r="U365" s="30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</row>
    <row r="366" spans="5:42" s="18" customFormat="1" ht="12.75"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37"/>
      <c r="P366" s="19"/>
      <c r="U366" s="30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</row>
    <row r="367" spans="5:42" s="18" customFormat="1" ht="12.75"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37"/>
      <c r="P367" s="19"/>
      <c r="U367" s="30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</row>
    <row r="368" spans="5:42" s="18" customFormat="1" ht="12.75"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37"/>
      <c r="P368" s="19"/>
      <c r="U368" s="30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</row>
    <row r="369" spans="5:42" s="18" customFormat="1" ht="12.75"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37"/>
      <c r="P369" s="19"/>
      <c r="U369" s="30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</row>
    <row r="370" spans="5:42" s="18" customFormat="1" ht="12.75"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37"/>
      <c r="P370" s="19"/>
      <c r="U370" s="30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</row>
    <row r="371" spans="5:42" s="18" customFormat="1" ht="12.75"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37"/>
      <c r="P371" s="19"/>
      <c r="U371" s="30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</row>
    <row r="372" spans="5:42" s="18" customFormat="1" ht="12.75"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37"/>
      <c r="P372" s="19"/>
      <c r="U372" s="30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</row>
    <row r="373" spans="5:42" s="18" customFormat="1" ht="12.75"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37"/>
      <c r="P373" s="19"/>
      <c r="U373" s="30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</row>
    <row r="374" spans="5:42" s="18" customFormat="1" ht="12.75"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37"/>
      <c r="P374" s="19"/>
      <c r="U374" s="30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</row>
    <row r="375" spans="5:42" s="18" customFormat="1" ht="12.75"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37"/>
      <c r="P375" s="19"/>
      <c r="U375" s="30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</row>
    <row r="376" spans="5:42" s="18" customFormat="1" ht="12.75"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37"/>
      <c r="P376" s="19"/>
      <c r="U376" s="30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</row>
    <row r="377" spans="5:42" s="18" customFormat="1" ht="12.75"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37"/>
      <c r="P377" s="19"/>
      <c r="U377" s="30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</row>
    <row r="378" spans="5:42" s="18" customFormat="1" ht="12.75"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37"/>
      <c r="P378" s="19"/>
      <c r="U378" s="30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</row>
    <row r="379" spans="5:42" s="18" customFormat="1" ht="12.75"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37"/>
      <c r="P379" s="19"/>
      <c r="U379" s="30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</row>
    <row r="380" spans="5:42" s="18" customFormat="1" ht="12.75"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37"/>
      <c r="P380" s="19"/>
      <c r="U380" s="30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</row>
    <row r="381" spans="5:42" s="18" customFormat="1" ht="12.75"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37"/>
      <c r="P381" s="19"/>
      <c r="U381" s="30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</row>
    <row r="382" spans="5:42" s="18" customFormat="1" ht="12.75"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37"/>
      <c r="P382" s="19"/>
      <c r="U382" s="30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</row>
    <row r="383" spans="5:42" s="18" customFormat="1" ht="12.75"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37"/>
      <c r="P383" s="19"/>
      <c r="U383" s="30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</row>
    <row r="384" spans="5:42" s="18" customFormat="1" ht="12.75"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37"/>
      <c r="P384" s="19"/>
      <c r="U384" s="30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</row>
    <row r="385" spans="5:42" s="18" customFormat="1" ht="12.75"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37"/>
      <c r="P385" s="19"/>
      <c r="U385" s="30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</row>
    <row r="386" spans="5:42" s="18" customFormat="1" ht="12.75"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37"/>
      <c r="P386" s="19"/>
      <c r="U386" s="30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</row>
    <row r="387" spans="5:42" s="18" customFormat="1" ht="12.75"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37"/>
      <c r="P387" s="19"/>
      <c r="U387" s="30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</row>
    <row r="388" spans="5:42" s="18" customFormat="1" ht="12.75"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37"/>
      <c r="P388" s="19"/>
      <c r="U388" s="30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</row>
    <row r="389" spans="5:42" s="18" customFormat="1" ht="12.75"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37"/>
      <c r="P389" s="19"/>
      <c r="U389" s="30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</row>
    <row r="390" spans="5:42" s="18" customFormat="1" ht="12.75"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37"/>
      <c r="P390" s="19"/>
      <c r="U390" s="30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</row>
    <row r="391" spans="5:42" s="18" customFormat="1" ht="12.75"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37"/>
      <c r="P391" s="19"/>
      <c r="U391" s="30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</row>
    <row r="392" spans="5:42" s="18" customFormat="1" ht="12.75"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37"/>
      <c r="P392" s="19"/>
      <c r="U392" s="30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</row>
    <row r="393" spans="5:42" s="18" customFormat="1" ht="12.75"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37"/>
      <c r="P393" s="19"/>
      <c r="U393" s="30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</row>
    <row r="394" spans="5:42" s="18" customFormat="1" ht="12.75"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37"/>
      <c r="P394" s="19"/>
      <c r="U394" s="30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</row>
    <row r="395" spans="5:42" s="18" customFormat="1" ht="12.75"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37"/>
      <c r="P395" s="19"/>
      <c r="U395" s="30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</row>
    <row r="396" spans="5:42" s="18" customFormat="1" ht="12.75"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37"/>
      <c r="P396" s="19"/>
      <c r="U396" s="30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</row>
    <row r="397" spans="5:42" s="18" customFormat="1" ht="12.75"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37"/>
      <c r="P397" s="19"/>
      <c r="U397" s="30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</row>
    <row r="398" spans="5:42" s="18" customFormat="1" ht="12.75"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37"/>
      <c r="P398" s="19"/>
      <c r="U398" s="30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</row>
    <row r="399" spans="5:42" s="18" customFormat="1" ht="12.75"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37"/>
      <c r="P399" s="19"/>
      <c r="U399" s="30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</row>
    <row r="400" spans="5:42" s="18" customFormat="1" ht="12.75"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37"/>
      <c r="P400" s="19"/>
      <c r="U400" s="30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</row>
    <row r="401" spans="5:42" s="18" customFormat="1" ht="12.75"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37"/>
      <c r="P401" s="19"/>
      <c r="U401" s="30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</row>
    <row r="402" spans="5:42" s="18" customFormat="1" ht="12.75"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37"/>
      <c r="P402" s="19"/>
      <c r="U402" s="30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</row>
    <row r="403" spans="5:42" s="18" customFormat="1" ht="12.75"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37"/>
      <c r="P403" s="19"/>
      <c r="U403" s="30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</row>
    <row r="404" ht="15.75">
      <c r="U404" s="32"/>
    </row>
    <row r="405" ht="15.75">
      <c r="U405" s="32"/>
    </row>
    <row r="406" ht="15.75">
      <c r="U406" s="32"/>
    </row>
    <row r="407" ht="15.75">
      <c r="U407" s="32"/>
    </row>
    <row r="408" ht="15.75">
      <c r="U408" s="32"/>
    </row>
    <row r="409" ht="15.75">
      <c r="U409" s="32"/>
    </row>
    <row r="410" ht="15.75">
      <c r="U410" s="32"/>
    </row>
    <row r="411" ht="15.75">
      <c r="U411" s="32"/>
    </row>
    <row r="412" ht="15.75">
      <c r="U412" s="32"/>
    </row>
    <row r="413" ht="15.75">
      <c r="U413" s="32"/>
    </row>
    <row r="414" ht="15.75">
      <c r="U414" s="32"/>
    </row>
    <row r="415" ht="15.75">
      <c r="U415" s="32"/>
    </row>
    <row r="416" ht="15.75">
      <c r="U416" s="32"/>
    </row>
    <row r="417" ht="15.75">
      <c r="U417" s="32"/>
    </row>
    <row r="418" ht="15.75">
      <c r="U418" s="32"/>
    </row>
    <row r="419" ht="15.75">
      <c r="U419" s="32"/>
    </row>
    <row r="420" ht="15.75">
      <c r="U420" s="32"/>
    </row>
    <row r="421" ht="15.75">
      <c r="U421" s="32"/>
    </row>
    <row r="422" ht="15.75">
      <c r="U422" s="32"/>
    </row>
    <row r="423" ht="15.75">
      <c r="U423" s="32"/>
    </row>
    <row r="424" ht="15.75">
      <c r="U424" s="32"/>
    </row>
    <row r="425" ht="15.75">
      <c r="U425" s="32"/>
    </row>
    <row r="426" ht="15.75">
      <c r="U426" s="32"/>
    </row>
    <row r="427" ht="15.75">
      <c r="U427" s="32"/>
    </row>
    <row r="428" ht="15.75">
      <c r="U428" s="32"/>
    </row>
    <row r="429" ht="15.75">
      <c r="U429" s="32"/>
    </row>
    <row r="430" ht="15.75">
      <c r="U430" s="32"/>
    </row>
    <row r="431" ht="15.75">
      <c r="U431" s="32"/>
    </row>
    <row r="432" ht="15.75">
      <c r="U432" s="32"/>
    </row>
    <row r="433" ht="15.75">
      <c r="U433" s="32"/>
    </row>
    <row r="434" ht="15.75">
      <c r="U434" s="32"/>
    </row>
    <row r="435" ht="15.75">
      <c r="U435" s="32"/>
    </row>
    <row r="436" ht="15.75">
      <c r="U436" s="32"/>
    </row>
    <row r="437" ht="15.75">
      <c r="U437" s="32"/>
    </row>
    <row r="438" ht="15.75">
      <c r="U438" s="32"/>
    </row>
    <row r="439" ht="15.75">
      <c r="U439" s="32"/>
    </row>
    <row r="440" ht="15.75">
      <c r="U440" s="32"/>
    </row>
    <row r="441" ht="15.75">
      <c r="U441" s="32"/>
    </row>
    <row r="442" ht="15.75">
      <c r="U442" s="32"/>
    </row>
    <row r="443" ht="15.75">
      <c r="U443" s="32"/>
    </row>
    <row r="444" ht="15.75">
      <c r="U444" s="32"/>
    </row>
    <row r="445" ht="15.75">
      <c r="U445" s="32"/>
    </row>
    <row r="446" ht="15.75">
      <c r="U446" s="32"/>
    </row>
    <row r="447" ht="15.75">
      <c r="U447" s="32"/>
    </row>
    <row r="448" ht="15.75">
      <c r="U448" s="32"/>
    </row>
    <row r="449" ht="15.75">
      <c r="U449" s="32"/>
    </row>
    <row r="450" ht="15.75">
      <c r="U450" s="32"/>
    </row>
    <row r="451" ht="15.75">
      <c r="U451" s="32"/>
    </row>
    <row r="452" ht="15.75">
      <c r="U452" s="32"/>
    </row>
    <row r="453" ht="15.75">
      <c r="U453" s="32"/>
    </row>
    <row r="454" ht="15.75">
      <c r="U454" s="32"/>
    </row>
    <row r="455" ht="15.75">
      <c r="U455" s="32"/>
    </row>
    <row r="456" ht="15.75">
      <c r="U456" s="32"/>
    </row>
    <row r="457" ht="15.75">
      <c r="U457" s="32"/>
    </row>
    <row r="458" ht="15.75">
      <c r="U458" s="32"/>
    </row>
    <row r="459" ht="15.75">
      <c r="U459" s="32"/>
    </row>
    <row r="460" ht="15.75">
      <c r="U460" s="32"/>
    </row>
    <row r="461" ht="15.75">
      <c r="U461" s="32"/>
    </row>
    <row r="462" ht="15.75">
      <c r="U462" s="32"/>
    </row>
    <row r="463" ht="15.75">
      <c r="U463" s="32"/>
    </row>
    <row r="464" ht="15.75">
      <c r="U464" s="32"/>
    </row>
    <row r="465" ht="15.75">
      <c r="U465" s="32"/>
    </row>
    <row r="466" ht="15.75">
      <c r="U466" s="32"/>
    </row>
    <row r="467" ht="15.75">
      <c r="U467" s="32"/>
    </row>
    <row r="468" ht="15.75">
      <c r="U468" s="32"/>
    </row>
    <row r="469" ht="15.75">
      <c r="U469" s="32"/>
    </row>
    <row r="470" ht="15.75">
      <c r="U470" s="32"/>
    </row>
    <row r="471" ht="15.75">
      <c r="U471" s="32"/>
    </row>
    <row r="472" ht="15.75">
      <c r="U472" s="32"/>
    </row>
    <row r="473" ht="15.75">
      <c r="U473" s="32"/>
    </row>
    <row r="474" ht="15.75">
      <c r="U474" s="32"/>
    </row>
    <row r="475" ht="15.75">
      <c r="U475" s="32"/>
    </row>
    <row r="476" ht="15.75">
      <c r="U476" s="32"/>
    </row>
    <row r="477" ht="15.75">
      <c r="U477" s="32"/>
    </row>
    <row r="478" ht="15.75">
      <c r="U478" s="32"/>
    </row>
    <row r="479" ht="15.75">
      <c r="U479" s="32"/>
    </row>
    <row r="480" ht="15.75">
      <c r="U480" s="32"/>
    </row>
    <row r="481" ht="15.75">
      <c r="U481" s="32"/>
    </row>
    <row r="482" ht="15.75">
      <c r="U482" s="32"/>
    </row>
    <row r="483" ht="15.75">
      <c r="U483" s="32"/>
    </row>
    <row r="484" ht="15.75">
      <c r="U484" s="32"/>
    </row>
    <row r="485" ht="15.75">
      <c r="U485" s="32"/>
    </row>
    <row r="486" ht="15.75">
      <c r="U486" s="32"/>
    </row>
    <row r="487" ht="15.75">
      <c r="U487" s="32"/>
    </row>
    <row r="488" ht="15.75">
      <c r="U488" s="32"/>
    </row>
    <row r="489" ht="15.75">
      <c r="U489" s="32"/>
    </row>
    <row r="490" ht="15.75">
      <c r="U490" s="32"/>
    </row>
    <row r="491" ht="15.75">
      <c r="U491" s="32"/>
    </row>
    <row r="492" ht="15.75">
      <c r="U492" s="32"/>
    </row>
    <row r="493" ht="15.75">
      <c r="U493" s="32"/>
    </row>
    <row r="494" ht="15.75">
      <c r="U494" s="32"/>
    </row>
    <row r="495" ht="15.75">
      <c r="U495" s="32"/>
    </row>
    <row r="496" ht="15.75">
      <c r="U496" s="32"/>
    </row>
    <row r="497" ht="15.75">
      <c r="U497" s="32"/>
    </row>
    <row r="498" ht="15.75">
      <c r="U498" s="32"/>
    </row>
    <row r="499" ht="15.75">
      <c r="U499" s="32"/>
    </row>
    <row r="500" ht="15.75">
      <c r="U500" s="32"/>
    </row>
    <row r="501" ht="15.75">
      <c r="U501" s="32"/>
    </row>
    <row r="502" ht="15.75">
      <c r="U502" s="32"/>
    </row>
    <row r="503" ht="15.75">
      <c r="U503" s="32"/>
    </row>
    <row r="504" ht="15.75">
      <c r="U504" s="32"/>
    </row>
    <row r="505" ht="15.75">
      <c r="U505" s="32"/>
    </row>
    <row r="506" ht="15.75">
      <c r="U506" s="32"/>
    </row>
    <row r="507" ht="15.75">
      <c r="U507" s="32"/>
    </row>
    <row r="508" ht="15.75">
      <c r="U508" s="32"/>
    </row>
    <row r="509" ht="15.75">
      <c r="U509" s="32"/>
    </row>
    <row r="510" ht="15.75">
      <c r="U510" s="32"/>
    </row>
    <row r="511" ht="15.75">
      <c r="U511" s="32"/>
    </row>
    <row r="512" ht="15.75">
      <c r="U512" s="32"/>
    </row>
    <row r="513" ht="15.75">
      <c r="U513" s="32"/>
    </row>
    <row r="514" ht="15.75">
      <c r="U514" s="32"/>
    </row>
    <row r="515" ht="15.75">
      <c r="U515" s="32"/>
    </row>
    <row r="516" ht="15.75">
      <c r="U516" s="32"/>
    </row>
    <row r="517" ht="15.75">
      <c r="U517" s="32"/>
    </row>
    <row r="518" ht="15.75">
      <c r="U518" s="32"/>
    </row>
    <row r="519" ht="15.75">
      <c r="U519" s="32"/>
    </row>
    <row r="520" ht="15.75">
      <c r="U520" s="32"/>
    </row>
    <row r="521" ht="15.75">
      <c r="U521" s="32"/>
    </row>
    <row r="522" ht="15.75">
      <c r="U522" s="32"/>
    </row>
    <row r="523" ht="15.75">
      <c r="U523" s="32"/>
    </row>
    <row r="524" ht="15.75">
      <c r="U524" s="32"/>
    </row>
    <row r="525" ht="15.75">
      <c r="U525" s="32"/>
    </row>
    <row r="526" ht="15.75">
      <c r="U526" s="32"/>
    </row>
    <row r="527" ht="15.75">
      <c r="U527" s="32"/>
    </row>
    <row r="528" ht="15.75">
      <c r="U528" s="32"/>
    </row>
    <row r="529" ht="15.75">
      <c r="U529" s="32"/>
    </row>
    <row r="530" ht="15.75">
      <c r="U530" s="32"/>
    </row>
    <row r="531" ht="15.75">
      <c r="U531" s="32"/>
    </row>
    <row r="532" ht="15.75">
      <c r="U532" s="32"/>
    </row>
    <row r="533" ht="15.75">
      <c r="U533" s="32"/>
    </row>
    <row r="534" ht="15.75">
      <c r="U534" s="32"/>
    </row>
    <row r="535" ht="15.75">
      <c r="U535" s="32"/>
    </row>
    <row r="536" ht="15.75">
      <c r="U536" s="32"/>
    </row>
    <row r="537" ht="15.75">
      <c r="U537" s="32"/>
    </row>
    <row r="538" ht="15.75">
      <c r="U538" s="32"/>
    </row>
    <row r="539" ht="15.75">
      <c r="U539" s="32"/>
    </row>
    <row r="540" ht="15.75">
      <c r="U540" s="32"/>
    </row>
    <row r="541" ht="15.75">
      <c r="U541" s="32"/>
    </row>
    <row r="542" ht="15.75">
      <c r="U542" s="32"/>
    </row>
    <row r="543" ht="15.75">
      <c r="U543" s="32"/>
    </row>
    <row r="544" ht="15.75">
      <c r="U544" s="32"/>
    </row>
    <row r="545" ht="15.75">
      <c r="U545" s="32"/>
    </row>
    <row r="546" ht="15.75">
      <c r="U546" s="32"/>
    </row>
    <row r="547" ht="15.75">
      <c r="U547" s="32"/>
    </row>
    <row r="548" ht="15.75">
      <c r="U548" s="32"/>
    </row>
    <row r="549" ht="15.75">
      <c r="U549" s="32"/>
    </row>
    <row r="550" ht="15.75">
      <c r="U550" s="32"/>
    </row>
    <row r="551" ht="15.75">
      <c r="U551" s="32"/>
    </row>
    <row r="552" ht="15.75">
      <c r="U552" s="32"/>
    </row>
    <row r="553" ht="15.75">
      <c r="U553" s="32"/>
    </row>
    <row r="554" ht="15.75">
      <c r="U554" s="32"/>
    </row>
    <row r="555" ht="15.75">
      <c r="U555" s="32"/>
    </row>
    <row r="556" ht="15.75">
      <c r="U556" s="32"/>
    </row>
    <row r="557" ht="15.75">
      <c r="U557" s="32"/>
    </row>
    <row r="558" ht="15.75">
      <c r="U558" s="32"/>
    </row>
    <row r="559" ht="15.75">
      <c r="U559" s="32"/>
    </row>
    <row r="560" ht="15.75">
      <c r="U560" s="32"/>
    </row>
    <row r="561" ht="15.75">
      <c r="U561" s="32"/>
    </row>
    <row r="562" ht="15.75">
      <c r="U562" s="32"/>
    </row>
    <row r="563" ht="15.75">
      <c r="U563" s="32"/>
    </row>
    <row r="564" ht="15.75">
      <c r="U564" s="32"/>
    </row>
    <row r="565" ht="15.75">
      <c r="U565" s="32"/>
    </row>
    <row r="566" ht="15.75">
      <c r="U566" s="32"/>
    </row>
    <row r="567" ht="15.75">
      <c r="U567" s="32"/>
    </row>
    <row r="568" ht="15.75">
      <c r="U568" s="32"/>
    </row>
    <row r="569" ht="15.75">
      <c r="U569" s="32"/>
    </row>
    <row r="570" ht="15.75">
      <c r="U570" s="32"/>
    </row>
    <row r="571" ht="15.75">
      <c r="U571" s="32"/>
    </row>
    <row r="572" ht="15.75">
      <c r="U572" s="32"/>
    </row>
    <row r="573" ht="15.75">
      <c r="U573" s="32"/>
    </row>
    <row r="574" ht="15.75">
      <c r="U574" s="32"/>
    </row>
    <row r="575" ht="15.75">
      <c r="U575" s="32"/>
    </row>
    <row r="576" ht="15.75">
      <c r="U576" s="32"/>
    </row>
    <row r="577" ht="15.75">
      <c r="U577" s="32"/>
    </row>
    <row r="578" ht="15.75">
      <c r="U578" s="32"/>
    </row>
    <row r="579" ht="15.75">
      <c r="U579" s="32"/>
    </row>
    <row r="580" ht="15.75">
      <c r="U580" s="32"/>
    </row>
    <row r="581" ht="15.75">
      <c r="U581" s="32"/>
    </row>
    <row r="582" ht="15.75">
      <c r="U582" s="32"/>
    </row>
    <row r="583" ht="15.75">
      <c r="U583" s="32"/>
    </row>
    <row r="584" ht="15.75">
      <c r="U584" s="32"/>
    </row>
    <row r="585" ht="15.75">
      <c r="U585" s="32"/>
    </row>
    <row r="586" ht="15.75">
      <c r="U586" s="32"/>
    </row>
    <row r="587" ht="15.75">
      <c r="U587" s="32"/>
    </row>
    <row r="588" ht="15.75">
      <c r="U588" s="32"/>
    </row>
    <row r="589" ht="15.75">
      <c r="U589" s="32"/>
    </row>
    <row r="590" ht="15.75">
      <c r="U590" s="32"/>
    </row>
    <row r="591" ht="15.75">
      <c r="U591" s="32"/>
    </row>
    <row r="592" ht="15.75">
      <c r="U592" s="32"/>
    </row>
    <row r="593" ht="15.75">
      <c r="U593" s="32"/>
    </row>
    <row r="594" ht="15.75">
      <c r="U594" s="32"/>
    </row>
    <row r="595" ht="15.75">
      <c r="U595" s="32"/>
    </row>
    <row r="596" ht="15.75">
      <c r="U596" s="32"/>
    </row>
    <row r="597" ht="15.75">
      <c r="U597" s="32"/>
    </row>
    <row r="598" ht="15.75">
      <c r="U598" s="32"/>
    </row>
    <row r="599" ht="15.75">
      <c r="U599" s="32"/>
    </row>
    <row r="600" ht="15.75">
      <c r="U600" s="32"/>
    </row>
    <row r="601" ht="15.75">
      <c r="U601" s="32"/>
    </row>
    <row r="602" ht="15.75">
      <c r="U602" s="32"/>
    </row>
    <row r="603" ht="15.75">
      <c r="U603" s="32"/>
    </row>
    <row r="604" ht="15.75">
      <c r="U604" s="32"/>
    </row>
    <row r="605" ht="15.75">
      <c r="U605" s="32"/>
    </row>
    <row r="606" ht="15.75">
      <c r="U606" s="32"/>
    </row>
    <row r="607" ht="15.75">
      <c r="U607" s="32"/>
    </row>
    <row r="608" ht="15.75">
      <c r="U608" s="32"/>
    </row>
    <row r="609" ht="15.75">
      <c r="U609" s="32"/>
    </row>
    <row r="610" ht="15.75">
      <c r="U610" s="32"/>
    </row>
    <row r="611" ht="15.75">
      <c r="U611" s="32"/>
    </row>
    <row r="612" ht="15.75">
      <c r="U612" s="32"/>
    </row>
    <row r="613" ht="15.75">
      <c r="U613" s="32"/>
    </row>
    <row r="614" ht="15.75">
      <c r="U614" s="32"/>
    </row>
    <row r="615" ht="15.75">
      <c r="U615" s="32"/>
    </row>
    <row r="616" ht="15.75">
      <c r="U616" s="32"/>
    </row>
    <row r="617" ht="15.75">
      <c r="U617" s="32"/>
    </row>
    <row r="618" ht="15.75">
      <c r="U618" s="32"/>
    </row>
    <row r="619" ht="15.75">
      <c r="U619" s="32"/>
    </row>
    <row r="620" ht="15.75">
      <c r="U620" s="32"/>
    </row>
    <row r="621" ht="15.75">
      <c r="U621" s="32"/>
    </row>
    <row r="622" ht="15.75">
      <c r="U622" s="32"/>
    </row>
    <row r="623" ht="15.75">
      <c r="U623" s="32"/>
    </row>
    <row r="624" ht="15.75">
      <c r="U624" s="32"/>
    </row>
    <row r="625" ht="15.75">
      <c r="U625" s="32"/>
    </row>
    <row r="626" ht="15.75">
      <c r="U626" s="32"/>
    </row>
    <row r="627" ht="15.75">
      <c r="U627" s="32"/>
    </row>
    <row r="628" ht="15.75">
      <c r="U628" s="32"/>
    </row>
    <row r="629" ht="15.75">
      <c r="U629" s="32"/>
    </row>
    <row r="630" ht="15.75">
      <c r="U630" s="32"/>
    </row>
    <row r="631" ht="15.75">
      <c r="U631" s="32"/>
    </row>
    <row r="632" ht="15.75">
      <c r="U632" s="32"/>
    </row>
    <row r="633" ht="15.75">
      <c r="U633" s="32"/>
    </row>
    <row r="634" ht="15.75">
      <c r="U634" s="32"/>
    </row>
    <row r="635" ht="15.75">
      <c r="U635" s="32"/>
    </row>
    <row r="636" ht="15.75">
      <c r="U636" s="32"/>
    </row>
    <row r="637" ht="15.75">
      <c r="U637" s="32"/>
    </row>
    <row r="638" ht="15.75">
      <c r="U638" s="32"/>
    </row>
    <row r="639" ht="15.75">
      <c r="U639" s="32"/>
    </row>
    <row r="640" ht="15.75">
      <c r="U640" s="32"/>
    </row>
    <row r="641" ht="15.75">
      <c r="U641" s="32"/>
    </row>
    <row r="642" ht="15.75">
      <c r="U642" s="32"/>
    </row>
    <row r="643" ht="15.75">
      <c r="U643" s="32"/>
    </row>
    <row r="644" ht="15.75">
      <c r="U644" s="32"/>
    </row>
    <row r="645" ht="15.75">
      <c r="U645" s="32"/>
    </row>
    <row r="646" ht="15.75">
      <c r="U646" s="32"/>
    </row>
    <row r="647" ht="15.75">
      <c r="U647" s="32"/>
    </row>
    <row r="648" ht="15.75">
      <c r="U648" s="32"/>
    </row>
    <row r="649" ht="15.75">
      <c r="U649" s="32"/>
    </row>
    <row r="650" ht="15.75">
      <c r="U650" s="32"/>
    </row>
    <row r="651" ht="15.75">
      <c r="U651" s="32"/>
    </row>
    <row r="652" ht="15.75">
      <c r="U652" s="32"/>
    </row>
    <row r="653" ht="15.75">
      <c r="U653" s="32"/>
    </row>
    <row r="654" ht="15.75">
      <c r="U654" s="32"/>
    </row>
    <row r="655" ht="15.75">
      <c r="U655" s="32"/>
    </row>
    <row r="656" ht="15.75">
      <c r="U656" s="32"/>
    </row>
    <row r="657" ht="15.75">
      <c r="U657" s="32"/>
    </row>
    <row r="658" ht="15.75">
      <c r="U658" s="32"/>
    </row>
    <row r="659" ht="15.75">
      <c r="U659" s="32"/>
    </row>
    <row r="660" ht="15.75">
      <c r="U660" s="32"/>
    </row>
    <row r="661" ht="15.75">
      <c r="U661" s="32"/>
    </row>
    <row r="662" ht="15.75">
      <c r="U662" s="32"/>
    </row>
    <row r="663" ht="15.75">
      <c r="U663" s="32"/>
    </row>
    <row r="664" ht="15.75">
      <c r="U664" s="32"/>
    </row>
    <row r="665" ht="15.75">
      <c r="U665" s="32"/>
    </row>
    <row r="666" ht="15.75">
      <c r="U666" s="32"/>
    </row>
    <row r="667" ht="15.75">
      <c r="U667" s="32"/>
    </row>
    <row r="668" ht="15.75">
      <c r="U668" s="32"/>
    </row>
    <row r="669" ht="15.75">
      <c r="U669" s="32"/>
    </row>
    <row r="670" ht="15.75">
      <c r="U670" s="32"/>
    </row>
    <row r="671" ht="15.75">
      <c r="U671" s="32"/>
    </row>
    <row r="672" ht="15.75">
      <c r="U672" s="32"/>
    </row>
    <row r="673" ht="15.75">
      <c r="U673" s="32"/>
    </row>
    <row r="674" ht="15.75">
      <c r="U674" s="32"/>
    </row>
    <row r="675" ht="15.75">
      <c r="U675" s="32"/>
    </row>
    <row r="676" ht="15.75">
      <c r="U676" s="32"/>
    </row>
    <row r="677" ht="15.75">
      <c r="U677" s="32"/>
    </row>
    <row r="678" ht="15.75">
      <c r="U678" s="32"/>
    </row>
    <row r="679" ht="15.75">
      <c r="U679" s="32"/>
    </row>
    <row r="680" ht="15.75">
      <c r="U680" s="32"/>
    </row>
    <row r="681" ht="15.75">
      <c r="U681" s="32"/>
    </row>
    <row r="682" ht="15.75">
      <c r="U682" s="32"/>
    </row>
    <row r="683" ht="15.75">
      <c r="U683" s="32"/>
    </row>
    <row r="684" ht="15.75">
      <c r="U684" s="32"/>
    </row>
    <row r="685" ht="15.75">
      <c r="U685" s="32"/>
    </row>
    <row r="686" ht="15.75">
      <c r="U686" s="32"/>
    </row>
    <row r="687" ht="15.75">
      <c r="U687" s="32"/>
    </row>
    <row r="688" ht="15.75">
      <c r="U688" s="32"/>
    </row>
    <row r="689" ht="15.75">
      <c r="U689" s="32"/>
    </row>
    <row r="690" ht="15.75">
      <c r="U690" s="32"/>
    </row>
    <row r="691" ht="15.75">
      <c r="U691" s="32"/>
    </row>
    <row r="692" ht="15.75">
      <c r="U692" s="32"/>
    </row>
    <row r="693" ht="15.75">
      <c r="U693" s="32"/>
    </row>
    <row r="694" ht="15.75">
      <c r="U694" s="32"/>
    </row>
    <row r="695" ht="15.75">
      <c r="U695" s="32"/>
    </row>
    <row r="696" ht="15.75">
      <c r="U696" s="32"/>
    </row>
    <row r="697" ht="15.75">
      <c r="U697" s="32"/>
    </row>
    <row r="698" ht="15.75">
      <c r="U698" s="32"/>
    </row>
    <row r="699" ht="15.75">
      <c r="U699" s="32"/>
    </row>
    <row r="700" ht="15.75">
      <c r="U700" s="32"/>
    </row>
    <row r="701" ht="15.75">
      <c r="U701" s="32"/>
    </row>
    <row r="702" ht="15.75">
      <c r="U702" s="32"/>
    </row>
    <row r="703" ht="15.75">
      <c r="U703" s="32"/>
    </row>
    <row r="704" ht="15.75">
      <c r="U704" s="32"/>
    </row>
    <row r="705" ht="15.75">
      <c r="U705" s="32"/>
    </row>
    <row r="706" ht="15.75">
      <c r="U706" s="32"/>
    </row>
    <row r="707" ht="15.75">
      <c r="U707" s="32"/>
    </row>
    <row r="708" ht="15.75">
      <c r="U708" s="32"/>
    </row>
    <row r="709" ht="15.75">
      <c r="U709" s="32"/>
    </row>
    <row r="710" ht="15.75">
      <c r="U710" s="32"/>
    </row>
    <row r="711" ht="15.75">
      <c r="U711" s="32"/>
    </row>
    <row r="712" ht="15.75">
      <c r="U712" s="32"/>
    </row>
    <row r="713" ht="15.75">
      <c r="U713" s="32"/>
    </row>
    <row r="714" ht="15.75">
      <c r="U714" s="32"/>
    </row>
    <row r="715" ht="15.75">
      <c r="U715" s="32"/>
    </row>
    <row r="716" ht="15.75">
      <c r="U716" s="32"/>
    </row>
    <row r="717" ht="15.75">
      <c r="U717" s="32"/>
    </row>
    <row r="718" ht="15.75">
      <c r="U718" s="32"/>
    </row>
    <row r="719" ht="15.75">
      <c r="U719" s="32"/>
    </row>
    <row r="720" ht="15.75">
      <c r="U720" s="32"/>
    </row>
    <row r="721" ht="15.75">
      <c r="U721" s="32"/>
    </row>
    <row r="722" ht="15.75">
      <c r="U722" s="32"/>
    </row>
    <row r="723" ht="15.75">
      <c r="U723" s="32"/>
    </row>
    <row r="724" ht="15.75">
      <c r="U724" s="32"/>
    </row>
    <row r="725" ht="15.75">
      <c r="U725" s="32"/>
    </row>
    <row r="726" ht="15.75">
      <c r="U726" s="32"/>
    </row>
    <row r="727" ht="15.75">
      <c r="U727" s="32"/>
    </row>
    <row r="728" ht="15.75">
      <c r="U728" s="32"/>
    </row>
    <row r="729" ht="15.75">
      <c r="U729" s="32"/>
    </row>
    <row r="730" ht="15.75">
      <c r="U730" s="32"/>
    </row>
    <row r="731" ht="15.75">
      <c r="U731" s="32"/>
    </row>
    <row r="732" ht="15.75">
      <c r="U732" s="32"/>
    </row>
    <row r="733" ht="15.75">
      <c r="U733" s="32"/>
    </row>
    <row r="734" ht="15.75">
      <c r="U734" s="32"/>
    </row>
    <row r="735" ht="15.75">
      <c r="U735" s="32"/>
    </row>
    <row r="736" ht="15.75">
      <c r="U736" s="32"/>
    </row>
    <row r="737" ht="15.75">
      <c r="U737" s="32"/>
    </row>
    <row r="738" ht="15.75">
      <c r="U738" s="32"/>
    </row>
    <row r="739" ht="15.75">
      <c r="U739" s="32"/>
    </row>
    <row r="740" ht="15.75">
      <c r="U740" s="32"/>
    </row>
    <row r="741" ht="15.75">
      <c r="U741" s="32"/>
    </row>
    <row r="742" ht="15.75">
      <c r="U742" s="32"/>
    </row>
    <row r="743" ht="15.75">
      <c r="U743" s="32"/>
    </row>
    <row r="744" ht="15.75">
      <c r="U744" s="32"/>
    </row>
    <row r="745" ht="15.75">
      <c r="U745" s="32"/>
    </row>
    <row r="746" ht="15.75">
      <c r="U746" s="32"/>
    </row>
    <row r="747" ht="15.75">
      <c r="U747" s="32"/>
    </row>
    <row r="748" ht="15.75">
      <c r="U748" s="32"/>
    </row>
    <row r="749" ht="15.75">
      <c r="U749" s="32"/>
    </row>
    <row r="750" ht="15.75">
      <c r="U750" s="32"/>
    </row>
    <row r="751" ht="15.75">
      <c r="U751" s="32"/>
    </row>
    <row r="752" ht="15.75">
      <c r="U752" s="32"/>
    </row>
    <row r="753" ht="15.75">
      <c r="U753" s="32"/>
    </row>
    <row r="754" ht="15.75">
      <c r="U754" s="32"/>
    </row>
    <row r="755" ht="15.75">
      <c r="U755" s="32"/>
    </row>
    <row r="756" ht="15.75">
      <c r="U756" s="32"/>
    </row>
    <row r="757" ht="15.75">
      <c r="U757" s="32"/>
    </row>
    <row r="758" ht="15.75">
      <c r="U758" s="32"/>
    </row>
    <row r="759" ht="15.75">
      <c r="U759" s="32"/>
    </row>
    <row r="760" ht="15.75">
      <c r="U760" s="32"/>
    </row>
    <row r="761" ht="15.75">
      <c r="U761" s="32"/>
    </row>
    <row r="762" ht="15.75">
      <c r="U762" s="32"/>
    </row>
    <row r="763" ht="15.75">
      <c r="U763" s="32"/>
    </row>
    <row r="764" ht="15.75">
      <c r="U764" s="32"/>
    </row>
    <row r="765" ht="15.75">
      <c r="U765" s="32"/>
    </row>
    <row r="766" ht="15.75">
      <c r="U766" s="32"/>
    </row>
    <row r="767" ht="15.75">
      <c r="U767" s="32"/>
    </row>
    <row r="768" ht="15.75">
      <c r="U768" s="32"/>
    </row>
    <row r="769" ht="15.75">
      <c r="U769" s="32"/>
    </row>
    <row r="770" ht="15.75">
      <c r="U770" s="32"/>
    </row>
    <row r="771" ht="15.75">
      <c r="U771" s="32"/>
    </row>
    <row r="772" ht="15.75">
      <c r="U772" s="32"/>
    </row>
    <row r="773" ht="15.75">
      <c r="U773" s="32"/>
    </row>
    <row r="774" ht="15.75">
      <c r="U774" s="32"/>
    </row>
    <row r="775" ht="15.75">
      <c r="U775" s="32"/>
    </row>
    <row r="776" ht="15.75">
      <c r="U776" s="32"/>
    </row>
    <row r="777" ht="15.75">
      <c r="U777" s="32"/>
    </row>
    <row r="778" ht="15.75">
      <c r="U778" s="32"/>
    </row>
    <row r="779" ht="15.75">
      <c r="U779" s="32"/>
    </row>
    <row r="780" ht="15.75">
      <c r="U780" s="32"/>
    </row>
    <row r="781" ht="15.75">
      <c r="U781" s="32"/>
    </row>
    <row r="782" ht="15.75">
      <c r="U782" s="32"/>
    </row>
    <row r="783" ht="15.75">
      <c r="U783" s="32"/>
    </row>
    <row r="784" ht="15.75">
      <c r="U784" s="32"/>
    </row>
    <row r="785" ht="15.75">
      <c r="U785" s="32"/>
    </row>
    <row r="786" ht="15.75">
      <c r="U786" s="32"/>
    </row>
    <row r="787" ht="15.75">
      <c r="U787" s="32"/>
    </row>
    <row r="788" ht="15.75">
      <c r="U788" s="32"/>
    </row>
    <row r="789" ht="15.75">
      <c r="U789" s="32"/>
    </row>
    <row r="790" ht="15.75">
      <c r="U790" s="32"/>
    </row>
    <row r="791" ht="15.75">
      <c r="U791" s="32"/>
    </row>
    <row r="792" ht="15.75">
      <c r="U792" s="32"/>
    </row>
    <row r="793" ht="15.75">
      <c r="U793" s="32"/>
    </row>
    <row r="794" ht="15.75">
      <c r="U794" s="32"/>
    </row>
    <row r="795" ht="15.75">
      <c r="U795" s="32"/>
    </row>
    <row r="796" ht="15.75">
      <c r="U796" s="32"/>
    </row>
    <row r="797" ht="15.75">
      <c r="U797" s="32"/>
    </row>
    <row r="798" ht="15.75">
      <c r="U798" s="32"/>
    </row>
    <row r="799" ht="15.75">
      <c r="U799" s="32"/>
    </row>
    <row r="800" ht="15.75">
      <c r="U800" s="32"/>
    </row>
    <row r="801" ht="15.75">
      <c r="U801" s="32"/>
    </row>
    <row r="802" ht="15.75">
      <c r="U802" s="32"/>
    </row>
    <row r="803" ht="15.75">
      <c r="U803" s="32"/>
    </row>
    <row r="804" ht="15.75">
      <c r="U804" s="32"/>
    </row>
    <row r="805" ht="15.75">
      <c r="U805" s="32"/>
    </row>
    <row r="806" ht="15.75">
      <c r="U806" s="32"/>
    </row>
    <row r="807" ht="15.75">
      <c r="U807" s="32"/>
    </row>
    <row r="808" ht="15.75">
      <c r="U808" s="32"/>
    </row>
    <row r="809" ht="15.75">
      <c r="U809" s="32"/>
    </row>
    <row r="810" ht="15.75">
      <c r="U810" s="32"/>
    </row>
    <row r="811" ht="15.75">
      <c r="U811" s="32"/>
    </row>
    <row r="812" ht="15.75">
      <c r="U812" s="32"/>
    </row>
    <row r="813" ht="15.75">
      <c r="U813" s="32"/>
    </row>
    <row r="814" ht="15.75">
      <c r="U814" s="32"/>
    </row>
    <row r="815" ht="15.75">
      <c r="U815" s="32"/>
    </row>
    <row r="816" ht="15.75">
      <c r="U816" s="32"/>
    </row>
    <row r="817" ht="15.75">
      <c r="U817" s="32"/>
    </row>
    <row r="818" ht="15.75">
      <c r="U818" s="32"/>
    </row>
    <row r="819" ht="15.75">
      <c r="U819" s="32"/>
    </row>
    <row r="820" ht="15.75">
      <c r="U820" s="32"/>
    </row>
    <row r="821" ht="15.75">
      <c r="U821" s="32"/>
    </row>
    <row r="822" ht="15.75">
      <c r="U822" s="32"/>
    </row>
    <row r="823" ht="15.75">
      <c r="U823" s="32"/>
    </row>
    <row r="824" ht="15.75">
      <c r="U824" s="32"/>
    </row>
    <row r="825" ht="15.75">
      <c r="U825" s="32"/>
    </row>
    <row r="826" ht="15.75">
      <c r="U826" s="32"/>
    </row>
    <row r="827" ht="15.75">
      <c r="U827" s="32"/>
    </row>
    <row r="828" ht="15.75">
      <c r="U828" s="32"/>
    </row>
    <row r="829" ht="15.75">
      <c r="U829" s="32"/>
    </row>
    <row r="830" ht="15.75">
      <c r="U830" s="32"/>
    </row>
    <row r="831" ht="15.75">
      <c r="U831" s="32"/>
    </row>
    <row r="832" ht="15.75">
      <c r="U832" s="32"/>
    </row>
    <row r="833" ht="15.75">
      <c r="U833" s="32"/>
    </row>
    <row r="834" ht="15.75">
      <c r="U834" s="32"/>
    </row>
    <row r="835" ht="15.75">
      <c r="U835" s="32"/>
    </row>
    <row r="836" ht="15.75">
      <c r="U836" s="32"/>
    </row>
    <row r="837" ht="15.75">
      <c r="U837" s="32"/>
    </row>
    <row r="838" ht="15.75">
      <c r="U838" s="32"/>
    </row>
    <row r="839" ht="15.75">
      <c r="U839" s="32"/>
    </row>
    <row r="840" ht="15.75">
      <c r="U840" s="32"/>
    </row>
    <row r="841" ht="15.75">
      <c r="U841" s="32"/>
    </row>
    <row r="842" ht="15.75">
      <c r="U842" s="32"/>
    </row>
    <row r="843" ht="15.75">
      <c r="U843" s="32"/>
    </row>
    <row r="844" ht="15.75">
      <c r="U844" s="32"/>
    </row>
    <row r="845" ht="15.75">
      <c r="U845" s="32"/>
    </row>
    <row r="846" ht="15.75">
      <c r="U846" s="32"/>
    </row>
    <row r="847" ht="15.75">
      <c r="U847" s="32"/>
    </row>
    <row r="848" ht="15.75">
      <c r="U848" s="32"/>
    </row>
    <row r="849" ht="15.75">
      <c r="U849" s="32"/>
    </row>
    <row r="850" ht="15.75">
      <c r="U850" s="32"/>
    </row>
    <row r="851" ht="15.75">
      <c r="U851" s="32"/>
    </row>
    <row r="852" ht="15.75">
      <c r="U852" s="32"/>
    </row>
    <row r="853" ht="15.75">
      <c r="U853" s="32"/>
    </row>
    <row r="854" ht="15.75">
      <c r="U854" s="32"/>
    </row>
    <row r="855" ht="15.75">
      <c r="U855" s="32"/>
    </row>
    <row r="856" ht="15.75">
      <c r="U856" s="32"/>
    </row>
    <row r="857" ht="15.75">
      <c r="U857" s="32"/>
    </row>
    <row r="858" ht="15.75">
      <c r="U858" s="32"/>
    </row>
    <row r="859" ht="15.75">
      <c r="U859" s="32"/>
    </row>
    <row r="860" ht="15.75">
      <c r="U860" s="32"/>
    </row>
    <row r="861" ht="15.75">
      <c r="U861" s="32"/>
    </row>
    <row r="862" ht="15.75">
      <c r="U862" s="32"/>
    </row>
    <row r="863" ht="15.75">
      <c r="U863" s="32"/>
    </row>
    <row r="864" ht="15.75">
      <c r="U864" s="32"/>
    </row>
    <row r="865" ht="15.75">
      <c r="U865" s="32"/>
    </row>
    <row r="866" ht="15.75">
      <c r="U866" s="32"/>
    </row>
    <row r="867" ht="15.75">
      <c r="U867" s="32"/>
    </row>
    <row r="868" ht="15.75">
      <c r="U868" s="32"/>
    </row>
    <row r="869" ht="15.75">
      <c r="U869" s="32"/>
    </row>
    <row r="870" ht="15.75">
      <c r="U870" s="32"/>
    </row>
    <row r="871" ht="15.75">
      <c r="U871" s="32"/>
    </row>
    <row r="872" ht="15.75">
      <c r="U872" s="32"/>
    </row>
    <row r="873" ht="15.75">
      <c r="U873" s="32"/>
    </row>
    <row r="874" ht="15.75">
      <c r="U874" s="32"/>
    </row>
    <row r="875" ht="15.75">
      <c r="U875" s="32"/>
    </row>
    <row r="876" ht="15.75">
      <c r="U876" s="32"/>
    </row>
    <row r="877" ht="15.75">
      <c r="U877" s="32"/>
    </row>
    <row r="878" ht="15.75">
      <c r="U878" s="32"/>
    </row>
    <row r="879" ht="15.75">
      <c r="U879" s="32"/>
    </row>
    <row r="880" ht="15.75">
      <c r="U880" s="32"/>
    </row>
    <row r="881" ht="15.75">
      <c r="U881" s="32"/>
    </row>
    <row r="882" ht="15.75">
      <c r="U882" s="32"/>
    </row>
    <row r="883" ht="15.75">
      <c r="U883" s="32"/>
    </row>
    <row r="884" ht="15.75">
      <c r="U884" s="32"/>
    </row>
    <row r="885" ht="15.75">
      <c r="U885" s="32"/>
    </row>
    <row r="886" ht="15.75">
      <c r="U886" s="32"/>
    </row>
    <row r="887" ht="15.75">
      <c r="U887" s="32"/>
    </row>
    <row r="888" ht="15.75">
      <c r="U888" s="32"/>
    </row>
    <row r="889" ht="15.75">
      <c r="U889" s="32"/>
    </row>
    <row r="890" ht="15.75">
      <c r="U890" s="32"/>
    </row>
    <row r="891" ht="15.75">
      <c r="U891" s="32"/>
    </row>
    <row r="892" ht="15.75">
      <c r="U892" s="32"/>
    </row>
    <row r="893" ht="15.75">
      <c r="U893" s="32"/>
    </row>
    <row r="894" ht="15.75">
      <c r="U894" s="32"/>
    </row>
    <row r="895" ht="15.75">
      <c r="U895" s="32"/>
    </row>
  </sheetData>
  <mergeCells count="6">
    <mergeCell ref="Q5:S5"/>
    <mergeCell ref="B5:D5"/>
    <mergeCell ref="E5:G5"/>
    <mergeCell ref="H5:J5"/>
    <mergeCell ref="N5:P5"/>
    <mergeCell ref="K5:M5"/>
  </mergeCells>
  <printOptions/>
  <pageMargins left="1.93" right="0.75" top="0.43" bottom="0.56" header="0.38" footer="0.23"/>
  <pageSetup fitToHeight="1" fitToWidth="1" horizontalDpi="600" verticalDpi="600" orientation="landscape" paperSize="8" scale="42" r:id="rId4"/>
  <headerFooter alignWithMargins="0">
    <oddFooter>&amp;Lcopyright Turner &amp; Townsend Project Management Ltd&amp;C&amp;P&amp;R&amp;Z&amp;F</oddFooter>
  </headerFooter>
  <rowBreaks count="1" manualBreakCount="1">
    <brk id="204" max="255" man="1"/>
  </rowBreaks>
  <colBreaks count="1" manualBreakCount="1">
    <brk id="21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91"/>
  <sheetViews>
    <sheetView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11.7109375" style="564" customWidth="1"/>
    <col min="3" max="3" width="11.7109375" style="536" customWidth="1"/>
    <col min="4" max="4" width="11.7109375" style="594" customWidth="1"/>
    <col min="5" max="5" width="11.7109375" style="564" customWidth="1"/>
    <col min="6" max="6" width="11.8515625" style="0" customWidth="1"/>
    <col min="7" max="7" width="11.7109375" style="0" hidden="1" customWidth="1"/>
    <col min="8" max="8" width="17.421875" style="478" customWidth="1"/>
    <col min="9" max="10" width="12.8515625" style="0" customWidth="1"/>
    <col min="11" max="11" width="10.7109375" style="564" customWidth="1"/>
    <col min="12" max="12" width="14.421875" style="536" bestFit="1" customWidth="1"/>
    <col min="13" max="13" width="11.7109375" style="0" customWidth="1"/>
    <col min="14" max="14" width="15.28125" style="564" bestFit="1" customWidth="1"/>
    <col min="15" max="15" width="11.7109375" style="0" customWidth="1"/>
    <col min="16" max="16" width="11.7109375" style="0" hidden="1" customWidth="1"/>
    <col min="17" max="17" width="17.140625" style="0" customWidth="1"/>
    <col min="18" max="19" width="12.8515625" style="0" customWidth="1"/>
    <col min="20" max="20" width="17.140625" style="0" customWidth="1"/>
    <col min="21" max="21" width="12.7109375" style="0" customWidth="1"/>
    <col min="22" max="22" width="55.28125" style="90" customWidth="1"/>
  </cols>
  <sheetData>
    <row r="1" spans="1:22" ht="12.75">
      <c r="A1" s="357"/>
      <c r="B1" s="547"/>
      <c r="C1" s="535"/>
      <c r="D1" s="579"/>
      <c r="E1" s="547"/>
      <c r="F1" s="358"/>
      <c r="G1" s="358"/>
      <c r="H1" s="358"/>
      <c r="I1" s="358"/>
      <c r="J1" s="358"/>
      <c r="K1" s="547"/>
      <c r="L1" s="535"/>
      <c r="M1" s="358"/>
      <c r="N1" s="547"/>
      <c r="O1" s="358"/>
      <c r="P1" s="358"/>
      <c r="Q1" s="358"/>
      <c r="R1" s="358"/>
      <c r="S1" s="358"/>
      <c r="T1" s="358"/>
      <c r="U1" s="358"/>
      <c r="V1" s="359"/>
    </row>
    <row r="2" spans="1:22" ht="38.25" customHeight="1">
      <c r="A2" s="179" t="s">
        <v>128</v>
      </c>
      <c r="B2" s="548"/>
      <c r="C2" s="545"/>
      <c r="D2" s="580"/>
      <c r="E2" s="595"/>
      <c r="F2" s="55"/>
      <c r="G2" s="55"/>
      <c r="H2" s="663"/>
      <c r="I2" s="34"/>
      <c r="J2" s="34"/>
      <c r="K2" s="609"/>
      <c r="L2" s="607"/>
      <c r="M2" s="51"/>
      <c r="N2" s="609"/>
      <c r="O2" s="51"/>
      <c r="P2" s="51"/>
      <c r="Q2" s="51"/>
      <c r="R2" s="51"/>
      <c r="S2" s="51"/>
      <c r="T2" s="51"/>
      <c r="U2" s="51"/>
      <c r="V2" s="360"/>
    </row>
    <row r="3" spans="1:22" ht="15.75" thickBot="1">
      <c r="A3" s="361"/>
      <c r="B3" s="549"/>
      <c r="C3" s="546"/>
      <c r="D3" s="581"/>
      <c r="E3" s="596"/>
      <c r="F3" s="363"/>
      <c r="G3" s="363"/>
      <c r="H3" s="664"/>
      <c r="I3" s="220"/>
      <c r="J3" s="220"/>
      <c r="K3" s="610"/>
      <c r="L3" s="608"/>
      <c r="M3" s="364"/>
      <c r="N3" s="610"/>
      <c r="O3" s="364"/>
      <c r="P3" s="364"/>
      <c r="Q3" s="364"/>
      <c r="R3" s="364"/>
      <c r="S3" s="364"/>
      <c r="T3" s="364"/>
      <c r="U3" s="364"/>
      <c r="V3" s="365"/>
    </row>
    <row r="4" spans="1:22" ht="12.75">
      <c r="A4" s="468"/>
      <c r="B4" s="550"/>
      <c r="C4" s="565"/>
      <c r="D4" s="582"/>
      <c r="E4" s="597"/>
      <c r="F4" s="538"/>
      <c r="G4" s="538"/>
      <c r="H4" s="543"/>
      <c r="I4" s="941"/>
      <c r="J4" s="871"/>
      <c r="K4" s="550"/>
      <c r="L4" s="565"/>
      <c r="M4" s="537"/>
      <c r="N4" s="597"/>
      <c r="O4" s="538"/>
      <c r="P4" s="538"/>
      <c r="Q4" s="539"/>
      <c r="R4" s="956"/>
      <c r="S4" s="522"/>
      <c r="T4" s="521"/>
      <c r="U4" s="522"/>
      <c r="V4" s="366"/>
    </row>
    <row r="5" spans="1:22" ht="53.25" thickBot="1">
      <c r="A5" s="469" t="s">
        <v>15</v>
      </c>
      <c r="B5" s="551" t="s">
        <v>227</v>
      </c>
      <c r="C5" s="566" t="s">
        <v>16</v>
      </c>
      <c r="D5" s="583" t="s">
        <v>22</v>
      </c>
      <c r="E5" s="598" t="s">
        <v>17</v>
      </c>
      <c r="F5" s="541" t="s">
        <v>18</v>
      </c>
      <c r="G5" s="541" t="s">
        <v>134</v>
      </c>
      <c r="H5" s="544" t="s">
        <v>20</v>
      </c>
      <c r="I5" s="942" t="s">
        <v>317</v>
      </c>
      <c r="J5" s="940" t="s">
        <v>396</v>
      </c>
      <c r="K5" s="551" t="s">
        <v>227</v>
      </c>
      <c r="L5" s="566" t="s">
        <v>16</v>
      </c>
      <c r="M5" s="540" t="s">
        <v>22</v>
      </c>
      <c r="N5" s="598" t="s">
        <v>17</v>
      </c>
      <c r="O5" s="541" t="s">
        <v>18</v>
      </c>
      <c r="P5" s="541" t="s">
        <v>134</v>
      </c>
      <c r="Q5" s="542" t="s">
        <v>129</v>
      </c>
      <c r="R5" s="957" t="s">
        <v>318</v>
      </c>
      <c r="S5" s="524"/>
      <c r="T5" s="523" t="s">
        <v>149</v>
      </c>
      <c r="U5" s="524" t="s">
        <v>319</v>
      </c>
      <c r="V5" s="367" t="s">
        <v>131</v>
      </c>
    </row>
    <row r="6" spans="1:23" s="218" customFormat="1" ht="15" customHeight="1" thickBot="1">
      <c r="A6" s="368" t="s">
        <v>0</v>
      </c>
      <c r="B6" s="552"/>
      <c r="C6" s="567"/>
      <c r="D6" s="584"/>
      <c r="E6" s="599"/>
      <c r="F6" s="369"/>
      <c r="G6" s="369"/>
      <c r="H6" s="369"/>
      <c r="I6" s="369"/>
      <c r="J6" s="370"/>
      <c r="K6" s="552"/>
      <c r="L6" s="567"/>
      <c r="M6" s="369"/>
      <c r="N6" s="599"/>
      <c r="O6" s="369"/>
      <c r="P6" s="369"/>
      <c r="Q6" s="369"/>
      <c r="R6" s="369"/>
      <c r="S6" s="370"/>
      <c r="T6" s="368"/>
      <c r="U6" s="370"/>
      <c r="V6" s="370"/>
      <c r="W6" s="221"/>
    </row>
    <row r="7" spans="1:22" ht="15" customHeight="1">
      <c r="A7" s="1052" t="s">
        <v>7</v>
      </c>
      <c r="B7" s="1049"/>
      <c r="C7" s="568"/>
      <c r="D7" s="585"/>
      <c r="E7" s="600"/>
      <c r="F7" s="479"/>
      <c r="G7" s="479"/>
      <c r="H7" s="480"/>
      <c r="I7" s="945"/>
      <c r="J7" s="34"/>
      <c r="K7" s="611"/>
      <c r="L7" s="612"/>
      <c r="M7" s="503"/>
      <c r="N7" s="613"/>
      <c r="O7" s="503"/>
      <c r="P7" s="503"/>
      <c r="Q7" s="504"/>
      <c r="R7" s="958"/>
      <c r="S7" s="505"/>
      <c r="T7" s="525"/>
      <c r="U7" s="526"/>
      <c r="V7" s="360"/>
    </row>
    <row r="8" spans="1:22" ht="15" customHeight="1">
      <c r="A8" s="699" t="s">
        <v>23</v>
      </c>
      <c r="B8" s="1050">
        <v>600</v>
      </c>
      <c r="C8" s="569">
        <v>10</v>
      </c>
      <c r="D8" s="586">
        <v>1</v>
      </c>
      <c r="E8" s="601">
        <f>B8*C8*D8</f>
        <v>6000</v>
      </c>
      <c r="F8" s="965">
        <f>E8/$F$123</f>
        <v>0.0172438816552402</v>
      </c>
      <c r="G8" s="483"/>
      <c r="H8" s="884">
        <f>('3.Contribution Split'!$D$125*J8)+($H$129*J8)</f>
        <v>1129527.712764458</v>
      </c>
      <c r="I8" s="946">
        <f>H8/B8</f>
        <v>1882.5461879407633</v>
      </c>
      <c r="J8" s="883">
        <f>F8/$F$127</f>
        <v>0.03661438945505584</v>
      </c>
      <c r="K8" s="553">
        <f aca="true" t="shared" si="0" ref="K8:M12">B8</f>
        <v>600</v>
      </c>
      <c r="L8" s="569">
        <f t="shared" si="0"/>
        <v>10</v>
      </c>
      <c r="M8" s="481">
        <f t="shared" si="0"/>
        <v>1</v>
      </c>
      <c r="N8" s="601">
        <f aca="true" t="shared" si="1" ref="N8:N20">K8*L8*M8</f>
        <v>6000</v>
      </c>
      <c r="O8" s="965">
        <f>N8/$N$25</f>
        <v>0.08033203909492569</v>
      </c>
      <c r="P8" s="483"/>
      <c r="Q8" s="884">
        <f>('3.Contribution Split'!$G$125*S8)+($L$129*S8)</f>
        <v>4573072.1051252</v>
      </c>
      <c r="R8" s="959">
        <f>Q8/K8</f>
        <v>7621.786841875333</v>
      </c>
      <c r="S8" s="966">
        <f>O8/$L$127</f>
        <v>0.16034206306787815</v>
      </c>
      <c r="T8" s="527">
        <f aca="true" t="shared" si="2" ref="T8:U12">Q8+H8</f>
        <v>5702599.817889658</v>
      </c>
      <c r="U8" s="506">
        <f t="shared" si="2"/>
        <v>9504.333029816096</v>
      </c>
      <c r="V8" s="513"/>
    </row>
    <row r="9" spans="1:22" ht="15" customHeight="1">
      <c r="A9" s="699" t="s">
        <v>25</v>
      </c>
      <c r="B9" s="1050">
        <v>121</v>
      </c>
      <c r="C9" s="569">
        <v>10</v>
      </c>
      <c r="D9" s="586">
        <f>$D$8</f>
        <v>1</v>
      </c>
      <c r="E9" s="601">
        <f aca="true" t="shared" si="3" ref="E9:E20">B9*C9*D9</f>
        <v>1210</v>
      </c>
      <c r="F9" s="965">
        <f>E9/$F$123</f>
        <v>0.0034775161338067738</v>
      </c>
      <c r="G9" s="483"/>
      <c r="H9" s="884">
        <f>('3.Contribution Split'!$D$125*J9)+($H$129*J9)</f>
        <v>227788.08874083235</v>
      </c>
      <c r="I9" s="946">
        <f>H9/B9</f>
        <v>1882.5461879407633</v>
      </c>
      <c r="J9" s="883">
        <f>F9/$F$127</f>
        <v>0.00738390187343626</v>
      </c>
      <c r="K9" s="553">
        <f t="shared" si="0"/>
        <v>121</v>
      </c>
      <c r="L9" s="569">
        <f t="shared" si="0"/>
        <v>10</v>
      </c>
      <c r="M9" s="481">
        <f t="shared" si="0"/>
        <v>1</v>
      </c>
      <c r="N9" s="601">
        <f t="shared" si="1"/>
        <v>1210</v>
      </c>
      <c r="O9" s="965">
        <f>N9/$N$25</f>
        <v>0.016200294550810016</v>
      </c>
      <c r="P9" s="483"/>
      <c r="Q9" s="884">
        <f>('3.Contribution Split'!$G$125*S9)+($L$129*S9)</f>
        <v>922236.2078669153</v>
      </c>
      <c r="R9" s="959">
        <f>Q9/K9</f>
        <v>7621.786841875332</v>
      </c>
      <c r="S9" s="966">
        <f>O9/$L$127</f>
        <v>0.03233564938535543</v>
      </c>
      <c r="T9" s="527">
        <f t="shared" si="2"/>
        <v>1150024.2966077477</v>
      </c>
      <c r="U9" s="506">
        <f t="shared" si="2"/>
        <v>9504.333029816096</v>
      </c>
      <c r="V9" s="513"/>
    </row>
    <row r="10" spans="1:22" ht="15" customHeight="1">
      <c r="A10" s="699" t="s">
        <v>26</v>
      </c>
      <c r="B10" s="1050">
        <v>1657</v>
      </c>
      <c r="C10" s="569">
        <v>10</v>
      </c>
      <c r="D10" s="586">
        <f>$D$8</f>
        <v>1</v>
      </c>
      <c r="E10" s="601">
        <f t="shared" si="3"/>
        <v>16570</v>
      </c>
      <c r="F10" s="965">
        <f>E10/$F$123</f>
        <v>0.04762185317122169</v>
      </c>
      <c r="G10" s="483"/>
      <c r="H10" s="884">
        <f>('3.Contribution Split'!$D$125*J10)+($H$129*J10)</f>
        <v>3119379.0334178447</v>
      </c>
      <c r="I10" s="946">
        <f>H10/B10</f>
        <v>1882.5461879407633</v>
      </c>
      <c r="J10" s="883">
        <f>F10/$F$127</f>
        <v>0.1011167388783792</v>
      </c>
      <c r="K10" s="553">
        <f t="shared" si="0"/>
        <v>1657</v>
      </c>
      <c r="L10" s="569">
        <f t="shared" si="0"/>
        <v>10</v>
      </c>
      <c r="M10" s="481">
        <f t="shared" si="0"/>
        <v>1</v>
      </c>
      <c r="N10" s="601">
        <f t="shared" si="1"/>
        <v>16570</v>
      </c>
      <c r="O10" s="965">
        <f>N10/$N$25</f>
        <v>0.2218503146338198</v>
      </c>
      <c r="P10" s="483"/>
      <c r="Q10" s="884">
        <f>('3.Contribution Split'!$G$125*S10)+($L$129*S10)</f>
        <v>12629300.79698743</v>
      </c>
      <c r="R10" s="959">
        <f>Q10/K10</f>
        <v>7621.786841875334</v>
      </c>
      <c r="S10" s="966">
        <f>O10/$L$127</f>
        <v>0.44281133083912355</v>
      </c>
      <c r="T10" s="527">
        <f t="shared" si="2"/>
        <v>15748679.830405274</v>
      </c>
      <c r="U10" s="506">
        <f t="shared" si="2"/>
        <v>9504.333029816098</v>
      </c>
      <c r="V10" s="513"/>
    </row>
    <row r="11" spans="1:22" ht="15" customHeight="1">
      <c r="A11" s="699" t="s">
        <v>27</v>
      </c>
      <c r="B11" s="1050">
        <v>1214</v>
      </c>
      <c r="C11" s="569">
        <v>10</v>
      </c>
      <c r="D11" s="586">
        <f>$D$8</f>
        <v>1</v>
      </c>
      <c r="E11" s="601">
        <f t="shared" si="3"/>
        <v>12140</v>
      </c>
      <c r="F11" s="965">
        <f>E11/$F$123</f>
        <v>0.03489012054910267</v>
      </c>
      <c r="G11" s="483"/>
      <c r="H11" s="884">
        <f>('3.Contribution Split'!$D$125*J11)+($H$129*J11)</f>
        <v>2285411.072160086</v>
      </c>
      <c r="I11" s="946">
        <f>H11/B11</f>
        <v>1882.5461879407628</v>
      </c>
      <c r="J11" s="883">
        <f>F11/$F$127</f>
        <v>0.07408311466406296</v>
      </c>
      <c r="K11" s="553">
        <f t="shared" si="0"/>
        <v>1214</v>
      </c>
      <c r="L11" s="569">
        <f t="shared" si="0"/>
        <v>10</v>
      </c>
      <c r="M11" s="481">
        <f t="shared" si="0"/>
        <v>1</v>
      </c>
      <c r="N11" s="601">
        <f t="shared" si="1"/>
        <v>12140</v>
      </c>
      <c r="O11" s="965">
        <f>N11/$N$25</f>
        <v>0.16253849243539964</v>
      </c>
      <c r="P11" s="483"/>
      <c r="Q11" s="884">
        <f>('3.Contribution Split'!$G$125*S11)+($L$129*S11)</f>
        <v>9252849.226036653</v>
      </c>
      <c r="R11" s="959">
        <f>Q11/K11</f>
        <v>7621.786841875331</v>
      </c>
      <c r="S11" s="966">
        <f>O11/$L$127</f>
        <v>0.32442544094067344</v>
      </c>
      <c r="T11" s="527">
        <f t="shared" si="2"/>
        <v>11538260.298196739</v>
      </c>
      <c r="U11" s="506">
        <f t="shared" si="2"/>
        <v>9504.333029816094</v>
      </c>
      <c r="V11" s="513"/>
    </row>
    <row r="12" spans="1:22" ht="15" customHeight="1">
      <c r="A12" s="699" t="s">
        <v>30</v>
      </c>
      <c r="B12" s="1050">
        <v>150</v>
      </c>
      <c r="C12" s="569">
        <v>10</v>
      </c>
      <c r="D12" s="586">
        <f>$D$8</f>
        <v>1</v>
      </c>
      <c r="E12" s="601">
        <f t="shared" si="3"/>
        <v>1500</v>
      </c>
      <c r="F12" s="965">
        <f>E12/$F$123</f>
        <v>0.00431097041381005</v>
      </c>
      <c r="G12" s="483"/>
      <c r="H12" s="884">
        <f>('3.Contribution Split'!$D$125*J12)+($H$129*J12)</f>
        <v>282381.9281911145</v>
      </c>
      <c r="I12" s="946">
        <f>H12/B12</f>
        <v>1882.5461879407633</v>
      </c>
      <c r="J12" s="883">
        <f>F12/$F$127</f>
        <v>0.00915359736376396</v>
      </c>
      <c r="K12" s="553">
        <f t="shared" si="0"/>
        <v>150</v>
      </c>
      <c r="L12" s="569">
        <f t="shared" si="0"/>
        <v>10</v>
      </c>
      <c r="M12" s="481">
        <f t="shared" si="0"/>
        <v>1</v>
      </c>
      <c r="N12" s="601">
        <f t="shared" si="1"/>
        <v>1500</v>
      </c>
      <c r="O12" s="965">
        <f>N12/$N$25</f>
        <v>0.02008300977373142</v>
      </c>
      <c r="P12" s="483"/>
      <c r="Q12" s="884">
        <f>('3.Contribution Split'!$G$125*S12)+($L$129*S12)</f>
        <v>1143268.0262813</v>
      </c>
      <c r="R12" s="959">
        <f>Q12/K12</f>
        <v>7621.786841875333</v>
      </c>
      <c r="S12" s="966">
        <f>O12/$L$127</f>
        <v>0.04008551576696954</v>
      </c>
      <c r="T12" s="527">
        <f t="shared" si="2"/>
        <v>1425649.9544724145</v>
      </c>
      <c r="U12" s="506">
        <f t="shared" si="2"/>
        <v>9504.333029816096</v>
      </c>
      <c r="V12" s="513"/>
    </row>
    <row r="13" spans="1:22" ht="15" customHeight="1">
      <c r="A13" s="154" t="s">
        <v>133</v>
      </c>
      <c r="B13" s="1051"/>
      <c r="C13" s="570"/>
      <c r="D13" s="587"/>
      <c r="E13" s="601"/>
      <c r="F13" s="482"/>
      <c r="G13" s="483"/>
      <c r="H13" s="484"/>
      <c r="I13" s="946"/>
      <c r="J13" s="872"/>
      <c r="K13" s="554"/>
      <c r="L13" s="570"/>
      <c r="M13" s="485"/>
      <c r="N13" s="601"/>
      <c r="O13" s="482"/>
      <c r="P13" s="483"/>
      <c r="Q13" s="484"/>
      <c r="R13" s="959"/>
      <c r="S13" s="967"/>
      <c r="T13" s="527"/>
      <c r="U13" s="506"/>
      <c r="V13" s="513"/>
    </row>
    <row r="14" spans="1:22" ht="15" customHeight="1">
      <c r="A14" s="699" t="s">
        <v>32</v>
      </c>
      <c r="B14" s="1050">
        <v>20000</v>
      </c>
      <c r="C14" s="569">
        <v>0.31</v>
      </c>
      <c r="D14" s="586">
        <v>1</v>
      </c>
      <c r="E14" s="601">
        <f t="shared" si="3"/>
        <v>6200</v>
      </c>
      <c r="F14" s="482">
        <f>E14/$F$123</f>
        <v>0.017818677710414874</v>
      </c>
      <c r="G14" s="483"/>
      <c r="H14" s="830">
        <f>F14*'3.Contribution Split'!$D$126</f>
        <v>987463.0082813742</v>
      </c>
      <c r="I14" s="946">
        <f>H14/B14</f>
        <v>49.37315041406871</v>
      </c>
      <c r="J14" s="872"/>
      <c r="K14" s="553">
        <f aca="true" t="shared" si="4" ref="K14:M16">B14</f>
        <v>20000</v>
      </c>
      <c r="L14" s="569">
        <f t="shared" si="4"/>
        <v>0.31</v>
      </c>
      <c r="M14" s="481">
        <f t="shared" si="4"/>
        <v>1</v>
      </c>
      <c r="N14" s="601">
        <f t="shared" si="1"/>
        <v>6200</v>
      </c>
      <c r="O14" s="482">
        <f>N14/$N$25</f>
        <v>0.08300977373142322</v>
      </c>
      <c r="P14" s="483"/>
      <c r="Q14" s="830">
        <f>O14*'3.Contribution Split'!$G$126</f>
        <v>1771245.9499263624</v>
      </c>
      <c r="R14" s="959">
        <f>Q14/K14</f>
        <v>88.56229749631812</v>
      </c>
      <c r="S14" s="967"/>
      <c r="T14" s="527">
        <f aca="true" t="shared" si="5" ref="T14:U16">Q14+H14</f>
        <v>2758708.9582077367</v>
      </c>
      <c r="U14" s="506">
        <f t="shared" si="5"/>
        <v>137.93544791038684</v>
      </c>
      <c r="V14" s="514"/>
    </row>
    <row r="15" spans="1:22" ht="15" customHeight="1">
      <c r="A15" s="699" t="s">
        <v>33</v>
      </c>
      <c r="B15" s="1050">
        <v>31000</v>
      </c>
      <c r="C15" s="569">
        <v>0.31</v>
      </c>
      <c r="D15" s="586">
        <f>$D$14</f>
        <v>1</v>
      </c>
      <c r="E15" s="601">
        <f t="shared" si="3"/>
        <v>9610</v>
      </c>
      <c r="F15" s="482">
        <f>E15/$F$123</f>
        <v>0.027618950451143053</v>
      </c>
      <c r="G15" s="483"/>
      <c r="H15" s="830">
        <f>F15*'3.Contribution Split'!$D$126</f>
        <v>1530567.66283613</v>
      </c>
      <c r="I15" s="946">
        <f>H15/B15</f>
        <v>49.37315041406871</v>
      </c>
      <c r="J15" s="872"/>
      <c r="K15" s="553">
        <f t="shared" si="4"/>
        <v>31000</v>
      </c>
      <c r="L15" s="569">
        <f t="shared" si="4"/>
        <v>0.31</v>
      </c>
      <c r="M15" s="481">
        <f t="shared" si="4"/>
        <v>1</v>
      </c>
      <c r="N15" s="601">
        <f t="shared" si="1"/>
        <v>9610</v>
      </c>
      <c r="O15" s="482">
        <f>N15/$N$25</f>
        <v>0.12866514928370598</v>
      </c>
      <c r="P15" s="483"/>
      <c r="Q15" s="830">
        <f>O15*'3.Contribution Split'!$G$126</f>
        <v>2745431.2223858614</v>
      </c>
      <c r="R15" s="959">
        <f>Q15/K15</f>
        <v>88.56229749631811</v>
      </c>
      <c r="S15" s="967"/>
      <c r="T15" s="527">
        <f t="shared" si="5"/>
        <v>4275998.885221992</v>
      </c>
      <c r="U15" s="506">
        <f t="shared" si="5"/>
        <v>137.9354479103868</v>
      </c>
      <c r="V15" s="514"/>
    </row>
    <row r="16" spans="1:22" ht="15" customHeight="1">
      <c r="A16" s="699" t="s">
        <v>34</v>
      </c>
      <c r="B16" s="1050">
        <v>4000</v>
      </c>
      <c r="C16" s="569">
        <v>0.31</v>
      </c>
      <c r="D16" s="586">
        <f>$D$14</f>
        <v>1</v>
      </c>
      <c r="E16" s="601">
        <f t="shared" si="3"/>
        <v>1240</v>
      </c>
      <c r="F16" s="482">
        <f>E16/$F$123</f>
        <v>0.0035637355420829746</v>
      </c>
      <c r="G16" s="483"/>
      <c r="H16" s="830">
        <f>F16*'3.Contribution Split'!$D$126</f>
        <v>197492.60165627484</v>
      </c>
      <c r="I16" s="946">
        <f>H16/B16</f>
        <v>49.37315041406871</v>
      </c>
      <c r="J16" s="872"/>
      <c r="K16" s="553">
        <f t="shared" si="4"/>
        <v>4000</v>
      </c>
      <c r="L16" s="569">
        <f t="shared" si="4"/>
        <v>0.31</v>
      </c>
      <c r="M16" s="481">
        <f t="shared" si="4"/>
        <v>1</v>
      </c>
      <c r="N16" s="601">
        <f t="shared" si="1"/>
        <v>1240</v>
      </c>
      <c r="O16" s="482">
        <f>N16/$N$25</f>
        <v>0.016601954746284644</v>
      </c>
      <c r="P16" s="483"/>
      <c r="Q16" s="830">
        <f>O16*'3.Contribution Split'!$G$126</f>
        <v>354249.1899852725</v>
      </c>
      <c r="R16" s="959">
        <f>Q16/K16</f>
        <v>88.56229749631812</v>
      </c>
      <c r="S16" s="967"/>
      <c r="T16" s="527">
        <f t="shared" si="5"/>
        <v>551741.7916415473</v>
      </c>
      <c r="U16" s="506">
        <f t="shared" si="5"/>
        <v>137.93544791038684</v>
      </c>
      <c r="V16" s="513"/>
    </row>
    <row r="17" spans="1:22" ht="15" customHeight="1">
      <c r="A17" s="154" t="s">
        <v>12</v>
      </c>
      <c r="B17" s="1051"/>
      <c r="C17" s="570"/>
      <c r="D17" s="586"/>
      <c r="E17" s="601"/>
      <c r="F17" s="482"/>
      <c r="G17" s="483"/>
      <c r="H17" s="830"/>
      <c r="I17" s="946"/>
      <c r="J17" s="872"/>
      <c r="K17" s="554"/>
      <c r="L17" s="570"/>
      <c r="M17" s="481"/>
      <c r="N17" s="601"/>
      <c r="O17" s="482"/>
      <c r="P17" s="483"/>
      <c r="Q17" s="830"/>
      <c r="R17" s="959"/>
      <c r="S17" s="967"/>
      <c r="T17" s="527"/>
      <c r="U17" s="506"/>
      <c r="V17" s="513"/>
    </row>
    <row r="18" spans="1:22" ht="15" customHeight="1">
      <c r="A18" s="699" t="s">
        <v>35</v>
      </c>
      <c r="B18" s="1050">
        <v>21000</v>
      </c>
      <c r="C18" s="569">
        <v>0.11</v>
      </c>
      <c r="D18" s="586">
        <f>$D$14</f>
        <v>1</v>
      </c>
      <c r="E18" s="601">
        <f t="shared" si="3"/>
        <v>2310</v>
      </c>
      <c r="F18" s="482">
        <f>E18/$F$123</f>
        <v>0.006638894437267477</v>
      </c>
      <c r="G18" s="483"/>
      <c r="H18" s="830">
        <f>F18*'3.Contribution Split'!$D$126</f>
        <v>367909.60469838296</v>
      </c>
      <c r="I18" s="946">
        <f>H18/B18</f>
        <v>17.519504985637283</v>
      </c>
      <c r="J18" s="872"/>
      <c r="K18" s="553">
        <f aca="true" t="shared" si="6" ref="K18:M20">B18</f>
        <v>21000</v>
      </c>
      <c r="L18" s="569">
        <f t="shared" si="6"/>
        <v>0.11</v>
      </c>
      <c r="M18" s="481">
        <f t="shared" si="6"/>
        <v>1</v>
      </c>
      <c r="N18" s="601">
        <f t="shared" si="1"/>
        <v>2310</v>
      </c>
      <c r="O18" s="482">
        <f>N18/$N$25</f>
        <v>0.030927835051546393</v>
      </c>
      <c r="P18" s="483"/>
      <c r="Q18" s="830">
        <f>O18*'3.Contribution Split'!$G$126</f>
        <v>659931.9587628866</v>
      </c>
      <c r="R18" s="959">
        <f>Q18/K18</f>
        <v>31.425331369661265</v>
      </c>
      <c r="S18" s="967"/>
      <c r="T18" s="527">
        <f aca="true" t="shared" si="7" ref="T18:U20">Q18+H18</f>
        <v>1027841.5634612695</v>
      </c>
      <c r="U18" s="506">
        <f t="shared" si="7"/>
        <v>48.94483635529855</v>
      </c>
      <c r="V18" s="513"/>
    </row>
    <row r="19" spans="1:22" ht="15" customHeight="1">
      <c r="A19" s="699" t="s">
        <v>34</v>
      </c>
      <c r="B19" s="1050">
        <v>4000</v>
      </c>
      <c r="C19" s="569">
        <v>0.23</v>
      </c>
      <c r="D19" s="586">
        <f>$D$14</f>
        <v>1</v>
      </c>
      <c r="E19" s="601">
        <f t="shared" si="3"/>
        <v>920</v>
      </c>
      <c r="F19" s="482">
        <f>E19/$F$123</f>
        <v>0.002644061853803497</v>
      </c>
      <c r="G19" s="483"/>
      <c r="H19" s="830">
        <f>F19*'3.Contribution Split'!$D$126</f>
        <v>146526.76897078456</v>
      </c>
      <c r="I19" s="946">
        <f>H19/B19</f>
        <v>36.63169224269614</v>
      </c>
      <c r="J19" s="872"/>
      <c r="K19" s="553">
        <f t="shared" si="6"/>
        <v>4000</v>
      </c>
      <c r="L19" s="569">
        <f t="shared" si="6"/>
        <v>0.23</v>
      </c>
      <c r="M19" s="481">
        <f t="shared" si="6"/>
        <v>1</v>
      </c>
      <c r="N19" s="601">
        <f t="shared" si="1"/>
        <v>920</v>
      </c>
      <c r="O19" s="482">
        <f>N19/$N$25</f>
        <v>0.012317579327888606</v>
      </c>
      <c r="P19" s="483"/>
      <c r="Q19" s="830">
        <f>O19*'3.Contribution Split'!$G$126</f>
        <v>262830.04418262147</v>
      </c>
      <c r="R19" s="959">
        <f>Q19/K19</f>
        <v>65.70751104565537</v>
      </c>
      <c r="S19" s="967"/>
      <c r="T19" s="527">
        <f t="shared" si="7"/>
        <v>409356.813153406</v>
      </c>
      <c r="U19" s="506">
        <f t="shared" si="7"/>
        <v>102.33920328835151</v>
      </c>
      <c r="V19" s="513"/>
    </row>
    <row r="20" spans="1:22" ht="15" customHeight="1">
      <c r="A20" s="699" t="s">
        <v>36</v>
      </c>
      <c r="B20" s="1050">
        <v>1000</v>
      </c>
      <c r="C20" s="569">
        <v>0.11</v>
      </c>
      <c r="D20" s="586">
        <f>$D$14</f>
        <v>1</v>
      </c>
      <c r="E20" s="601">
        <f t="shared" si="3"/>
        <v>110</v>
      </c>
      <c r="F20" s="482">
        <f>E20/$F$123</f>
        <v>0.00031613783034607036</v>
      </c>
      <c r="G20" s="483"/>
      <c r="H20" s="830">
        <f>F20*'3.Contribution Split'!$D$126</f>
        <v>17519.504985637286</v>
      </c>
      <c r="I20" s="946">
        <f>H20/B20</f>
        <v>17.519504985637287</v>
      </c>
      <c r="J20" s="872"/>
      <c r="K20" s="553">
        <f t="shared" si="6"/>
        <v>1000</v>
      </c>
      <c r="L20" s="569">
        <f t="shared" si="6"/>
        <v>0.11</v>
      </c>
      <c r="M20" s="481">
        <f t="shared" si="6"/>
        <v>1</v>
      </c>
      <c r="N20" s="601">
        <f t="shared" si="1"/>
        <v>110</v>
      </c>
      <c r="O20" s="482">
        <f>N20/$N$25</f>
        <v>0.0014727540500736377</v>
      </c>
      <c r="P20" s="483"/>
      <c r="Q20" s="830">
        <f>O20*'3.Contribution Split'!$G$126</f>
        <v>31425.331369661268</v>
      </c>
      <c r="R20" s="959">
        <f>Q20/K20</f>
        <v>31.42533136966127</v>
      </c>
      <c r="S20" s="967"/>
      <c r="T20" s="527">
        <f t="shared" si="7"/>
        <v>48944.836355298554</v>
      </c>
      <c r="U20" s="506">
        <f t="shared" si="7"/>
        <v>48.944836355298555</v>
      </c>
      <c r="V20" s="513"/>
    </row>
    <row r="21" spans="1:22" ht="15" customHeight="1">
      <c r="A21" s="154" t="s">
        <v>5</v>
      </c>
      <c r="B21" s="1051"/>
      <c r="C21" s="570"/>
      <c r="D21" s="586"/>
      <c r="E21" s="601"/>
      <c r="F21" s="482"/>
      <c r="G21" s="483"/>
      <c r="H21" s="830"/>
      <c r="I21" s="946"/>
      <c r="J21" s="872"/>
      <c r="K21" s="554"/>
      <c r="L21" s="570"/>
      <c r="M21" s="481"/>
      <c r="N21" s="601"/>
      <c r="O21" s="482"/>
      <c r="P21" s="483"/>
      <c r="Q21" s="830"/>
      <c r="R21" s="959"/>
      <c r="S21" s="967"/>
      <c r="T21" s="527"/>
      <c r="U21" s="506"/>
      <c r="V21" s="513"/>
    </row>
    <row r="22" spans="1:22" ht="15" customHeight="1">
      <c r="A22" s="699" t="s">
        <v>37</v>
      </c>
      <c r="B22" s="1050">
        <v>8000</v>
      </c>
      <c r="C22" s="569">
        <v>2.11</v>
      </c>
      <c r="D22" s="586">
        <f>$D$14</f>
        <v>1</v>
      </c>
      <c r="E22" s="601">
        <f>B22*C22*D22</f>
        <v>16880</v>
      </c>
      <c r="F22" s="482">
        <f>E22/$F$123</f>
        <v>0.04851278705674243</v>
      </c>
      <c r="G22" s="483"/>
      <c r="H22" s="830">
        <f>F22*'3.Contribution Split'!$D$126</f>
        <v>2688447.6741596125</v>
      </c>
      <c r="I22" s="946">
        <f>H22/B22</f>
        <v>336.0559592699516</v>
      </c>
      <c r="J22" s="872"/>
      <c r="K22" s="553">
        <f>B22</f>
        <v>8000</v>
      </c>
      <c r="L22" s="569">
        <f>C22</f>
        <v>2.11</v>
      </c>
      <c r="M22" s="481">
        <f>D22</f>
        <v>1</v>
      </c>
      <c r="N22" s="601">
        <f>K22*L22*M22</f>
        <v>16880</v>
      </c>
      <c r="O22" s="482">
        <f>N22/$N$25</f>
        <v>0.22600080332039094</v>
      </c>
      <c r="P22" s="483"/>
      <c r="Q22" s="830">
        <f>O22*'3.Contribution Split'!$G$126</f>
        <v>4822359.941089838</v>
      </c>
      <c r="R22" s="959">
        <f>Q22/K22</f>
        <v>602.7949926362297</v>
      </c>
      <c r="S22" s="967"/>
      <c r="T22" s="527">
        <f>Q22+H22</f>
        <v>7510807.61524945</v>
      </c>
      <c r="U22" s="506">
        <f>R22+I22</f>
        <v>938.8509519061813</v>
      </c>
      <c r="V22" s="513"/>
    </row>
    <row r="23" spans="1:22" ht="15" customHeight="1">
      <c r="A23" s="154" t="s">
        <v>8</v>
      </c>
      <c r="B23" s="1059"/>
      <c r="C23" s="569"/>
      <c r="D23" s="586"/>
      <c r="E23" s="601"/>
      <c r="F23" s="482"/>
      <c r="G23" s="483"/>
      <c r="H23" s="830"/>
      <c r="I23" s="946"/>
      <c r="J23" s="1060"/>
      <c r="K23" s="677"/>
      <c r="L23" s="678"/>
      <c r="M23" s="681"/>
      <c r="N23" s="603"/>
      <c r="O23" s="680"/>
      <c r="P23" s="493"/>
      <c r="Q23" s="831"/>
      <c r="R23" s="961"/>
      <c r="S23" s="967"/>
      <c r="T23" s="527"/>
      <c r="U23" s="506"/>
      <c r="V23" s="360"/>
    </row>
    <row r="24" spans="1:22" ht="15" customHeight="1" thickBot="1">
      <c r="A24" s="1053" t="s">
        <v>420</v>
      </c>
      <c r="B24" s="1054">
        <v>14000</v>
      </c>
      <c r="C24" s="678">
        <v>1.2</v>
      </c>
      <c r="D24" s="679">
        <v>1</v>
      </c>
      <c r="E24" s="1055">
        <f>B24*C24*D24</f>
        <v>16800</v>
      </c>
      <c r="F24" s="1056">
        <f>E24/$F$123</f>
        <v>0.04828286863467256</v>
      </c>
      <c r="G24" s="493"/>
      <c r="H24" s="1057">
        <f>F24*'3.Contribution Split'!$D$126</f>
        <v>2675706.2159882393</v>
      </c>
      <c r="I24" s="1058">
        <f>H24/B24</f>
        <v>191.12187257058852</v>
      </c>
      <c r="J24" s="34"/>
      <c r="K24" s="553">
        <f>B24</f>
        <v>14000</v>
      </c>
      <c r="L24" s="569">
        <f>C24</f>
        <v>1.2</v>
      </c>
      <c r="M24" s="481">
        <f>D24</f>
        <v>1</v>
      </c>
      <c r="N24" s="601">
        <f>K24*L24*M24</f>
        <v>16800</v>
      </c>
      <c r="O24" s="482">
        <f>N24/$N$25</f>
        <v>0.22492970946579194</v>
      </c>
      <c r="P24" s="493"/>
      <c r="Q24" s="830">
        <f>O24*'3.Contribution Split'!$G$126</f>
        <v>4799505.154639175</v>
      </c>
      <c r="R24" s="959">
        <f>Q24/K24</f>
        <v>342.8217967599411</v>
      </c>
      <c r="S24" s="1046"/>
      <c r="T24" s="527">
        <f>Q24+H24</f>
        <v>7475211.370627414</v>
      </c>
      <c r="U24" s="506">
        <f>R24+I24</f>
        <v>533.9436693305296</v>
      </c>
      <c r="V24" s="360"/>
    </row>
    <row r="25" spans="1:22" ht="15" customHeight="1" thickBot="1">
      <c r="A25" s="627" t="s">
        <v>297</v>
      </c>
      <c r="B25" s="556"/>
      <c r="C25" s="572"/>
      <c r="D25" s="588"/>
      <c r="E25" s="508">
        <f>SUM($E$7:$E$22)</f>
        <v>74690</v>
      </c>
      <c r="F25" s="489">
        <f>SUM($F$8:$F$22)</f>
        <v>0.21465758680498176</v>
      </c>
      <c r="G25" s="490"/>
      <c r="H25" s="491">
        <f>SUM($H$7:$H$22)</f>
        <v>12980414.660862532</v>
      </c>
      <c r="I25" s="947"/>
      <c r="J25" s="939"/>
      <c r="K25" s="556"/>
      <c r="L25" s="572"/>
      <c r="M25" s="488"/>
      <c r="N25" s="508">
        <f>SUM($N$7:$N$22)</f>
        <v>74690</v>
      </c>
      <c r="O25" s="509">
        <f>SUM($O$5:$O$22)</f>
        <v>1</v>
      </c>
      <c r="P25" s="490"/>
      <c r="Q25" s="491">
        <f>SUM($Q$7:$Q$22)</f>
        <v>39168200</v>
      </c>
      <c r="R25" s="960"/>
      <c r="S25" s="968">
        <f>SUM(S8:S22)</f>
        <v>1</v>
      </c>
      <c r="T25" s="529">
        <f>SUM($T$7:$T$22)</f>
        <v>52148614.66086253</v>
      </c>
      <c r="U25" s="530"/>
      <c r="V25" s="622"/>
    </row>
    <row r="26" spans="1:47" s="225" customFormat="1" ht="15" customHeight="1" thickBot="1">
      <c r="A26" s="616"/>
      <c r="B26" s="943"/>
      <c r="C26" s="578"/>
      <c r="D26" s="593"/>
      <c r="E26" s="943"/>
      <c r="F26" s="944"/>
      <c r="G26" s="944"/>
      <c r="H26" s="944"/>
      <c r="I26" s="944"/>
      <c r="J26" s="944"/>
      <c r="K26" s="617"/>
      <c r="L26" s="618"/>
      <c r="M26" s="620"/>
      <c r="N26" s="617"/>
      <c r="O26" s="620"/>
      <c r="P26" s="620"/>
      <c r="Q26" s="620"/>
      <c r="R26" s="620"/>
      <c r="S26" s="620"/>
      <c r="T26" s="620"/>
      <c r="U26" s="620"/>
      <c r="V26" s="621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23" s="218" customFormat="1" ht="15" customHeight="1" thickBot="1">
      <c r="A27" s="368" t="s">
        <v>1</v>
      </c>
      <c r="B27" s="552"/>
      <c r="C27" s="567"/>
      <c r="D27" s="584"/>
      <c r="E27" s="599"/>
      <c r="F27" s="369"/>
      <c r="G27" s="369"/>
      <c r="H27" s="369"/>
      <c r="I27" s="369"/>
      <c r="J27" s="370"/>
      <c r="K27" s="599"/>
      <c r="L27" s="567"/>
      <c r="M27" s="369"/>
      <c r="N27" s="599"/>
      <c r="O27" s="369"/>
      <c r="P27" s="369"/>
      <c r="Q27" s="369"/>
      <c r="R27" s="369"/>
      <c r="S27" s="370"/>
      <c r="T27" s="368"/>
      <c r="U27" s="370"/>
      <c r="V27" s="370"/>
      <c r="W27" s="221"/>
    </row>
    <row r="28" spans="1:22" ht="15" customHeight="1">
      <c r="A28" s="470" t="s">
        <v>7</v>
      </c>
      <c r="B28" s="557"/>
      <c r="C28" s="573"/>
      <c r="D28" s="589"/>
      <c r="E28" s="603"/>
      <c r="F28" s="493"/>
      <c r="G28" s="493"/>
      <c r="H28" s="494"/>
      <c r="I28" s="945"/>
      <c r="J28" s="34"/>
      <c r="K28" s="557"/>
      <c r="L28" s="573"/>
      <c r="M28" s="492"/>
      <c r="N28" s="603"/>
      <c r="O28" s="493"/>
      <c r="P28" s="493"/>
      <c r="Q28" s="510"/>
      <c r="R28" s="961"/>
      <c r="S28" s="512"/>
      <c r="T28" s="531"/>
      <c r="U28" s="526"/>
      <c r="V28" s="360"/>
    </row>
    <row r="29" spans="1:22" ht="15" customHeight="1">
      <c r="A29" s="169" t="s">
        <v>40</v>
      </c>
      <c r="B29" s="553">
        <v>2100</v>
      </c>
      <c r="C29" s="569">
        <v>10</v>
      </c>
      <c r="D29" s="586">
        <f>$D$8</f>
        <v>1</v>
      </c>
      <c r="E29" s="601">
        <f aca="true" t="shared" si="8" ref="E29:E45">B29*C29*D29</f>
        <v>21000</v>
      </c>
      <c r="F29" s="965">
        <f>E29/$F$123</f>
        <v>0.0603535857933407</v>
      </c>
      <c r="G29" s="483"/>
      <c r="H29" s="884">
        <f>('3.Contribution Split'!$D$125*J29)+($H$129*J29)</f>
        <v>3953346.9946756028</v>
      </c>
      <c r="I29" s="946">
        <f>H29/B29</f>
        <v>1882.5461879407633</v>
      </c>
      <c r="J29" s="883">
        <f>F29/$F$127</f>
        <v>0.12815036309269542</v>
      </c>
      <c r="K29" s="553">
        <f aca="true" t="shared" si="9" ref="K29:M32">B29</f>
        <v>2100</v>
      </c>
      <c r="L29" s="569">
        <f t="shared" si="9"/>
        <v>10</v>
      </c>
      <c r="M29" s="481">
        <f t="shared" si="9"/>
        <v>1</v>
      </c>
      <c r="N29" s="601">
        <f aca="true" t="shared" si="10" ref="N29:N45">K29*L29*M29</f>
        <v>21000</v>
      </c>
      <c r="O29" s="965">
        <f>N29/$N$50</f>
        <v>0.22659099246854703</v>
      </c>
      <c r="P29" s="483"/>
      <c r="Q29" s="884">
        <f>('3.Contribution Split'!$J$125*S29)+($N$129*S29)</f>
        <v>20887821.40498387</v>
      </c>
      <c r="R29" s="959">
        <f>Q29/K29</f>
        <v>9946.581621420892</v>
      </c>
      <c r="S29" s="966">
        <f>O29/$N$127</f>
        <v>0.45366169799092676</v>
      </c>
      <c r="T29" s="527">
        <f aca="true" t="shared" si="11" ref="T29:U32">Q29+H29</f>
        <v>24841168.399659473</v>
      </c>
      <c r="U29" s="506">
        <f t="shared" si="11"/>
        <v>11829.127809361655</v>
      </c>
      <c r="V29" s="674"/>
    </row>
    <row r="30" spans="1:22" ht="15" customHeight="1">
      <c r="A30" s="169" t="s">
        <v>41</v>
      </c>
      <c r="B30" s="553">
        <v>1500</v>
      </c>
      <c r="C30" s="569">
        <v>10</v>
      </c>
      <c r="D30" s="586">
        <f>$D$8</f>
        <v>1</v>
      </c>
      <c r="E30" s="601">
        <f t="shared" si="8"/>
        <v>15000</v>
      </c>
      <c r="F30" s="965">
        <f>E30/$F$123</f>
        <v>0.0431097041381005</v>
      </c>
      <c r="G30" s="483"/>
      <c r="H30" s="884">
        <f>('3.Contribution Split'!$D$125*J30)+($H$129*J30)</f>
        <v>2823819.281911145</v>
      </c>
      <c r="I30" s="946">
        <f>H30/B30</f>
        <v>1882.5461879407633</v>
      </c>
      <c r="J30" s="883">
        <f>F30/$F$127</f>
        <v>0.09153597363763959</v>
      </c>
      <c r="K30" s="553">
        <f t="shared" si="9"/>
        <v>1500</v>
      </c>
      <c r="L30" s="569">
        <f t="shared" si="9"/>
        <v>10</v>
      </c>
      <c r="M30" s="481">
        <f t="shared" si="9"/>
        <v>1</v>
      </c>
      <c r="N30" s="601">
        <f t="shared" si="10"/>
        <v>15000</v>
      </c>
      <c r="O30" s="965">
        <f>N30/$N$50</f>
        <v>0.161850708906105</v>
      </c>
      <c r="P30" s="483"/>
      <c r="Q30" s="884">
        <f>('3.Contribution Split'!$J$125*S30)+($N$129*S30)</f>
        <v>14919872.432131335</v>
      </c>
      <c r="R30" s="959">
        <f>Q30/K30</f>
        <v>9946.58162142089</v>
      </c>
      <c r="S30" s="966">
        <f>O30/$N$127</f>
        <v>0.3240440699935191</v>
      </c>
      <c r="T30" s="527">
        <f t="shared" si="11"/>
        <v>17743691.71404248</v>
      </c>
      <c r="U30" s="506">
        <f t="shared" si="11"/>
        <v>11829.127809361653</v>
      </c>
      <c r="V30" s="513"/>
    </row>
    <row r="31" spans="1:22" s="146" customFormat="1" ht="15" customHeight="1">
      <c r="A31" s="169" t="s">
        <v>429</v>
      </c>
      <c r="B31" s="553">
        <v>200</v>
      </c>
      <c r="C31" s="569">
        <v>10</v>
      </c>
      <c r="D31" s="586">
        <f>$D$8</f>
        <v>1</v>
      </c>
      <c r="E31" s="601">
        <f t="shared" si="8"/>
        <v>2000</v>
      </c>
      <c r="F31" s="965">
        <f>E31/$F$123</f>
        <v>0.005747960551746733</v>
      </c>
      <c r="G31" s="483"/>
      <c r="H31" s="884">
        <f>('3.Contribution Split'!$D$125*J31)+($H$129*J31)</f>
        <v>376509.23758815264</v>
      </c>
      <c r="I31" s="946">
        <f>H31/B31</f>
        <v>1882.5461879407633</v>
      </c>
      <c r="J31" s="883">
        <f>F31/$F$127</f>
        <v>0.01220479648501861</v>
      </c>
      <c r="K31" s="553">
        <f t="shared" si="9"/>
        <v>200</v>
      </c>
      <c r="L31" s="569">
        <f t="shared" si="9"/>
        <v>10</v>
      </c>
      <c r="M31" s="481">
        <f t="shared" si="9"/>
        <v>1</v>
      </c>
      <c r="N31" s="601">
        <f t="shared" si="10"/>
        <v>2000</v>
      </c>
      <c r="O31" s="482">
        <f>N31/$N$50</f>
        <v>0.021580094520814</v>
      </c>
      <c r="P31" s="483"/>
      <c r="Q31" s="884">
        <f>('3.Contribution Split'!$J$125*S31)+($N$129*S31)</f>
        <v>1989316.324284178</v>
      </c>
      <c r="R31" s="959">
        <f>Q31/K31</f>
        <v>9946.58162142089</v>
      </c>
      <c r="S31" s="966">
        <f>O31/$N$127</f>
        <v>0.043205875999135876</v>
      </c>
      <c r="T31" s="527">
        <f t="shared" si="11"/>
        <v>2365825.5618723305</v>
      </c>
      <c r="U31" s="506">
        <f t="shared" si="11"/>
        <v>11829.127809361653</v>
      </c>
      <c r="V31" s="513"/>
    </row>
    <row r="32" spans="1:22" ht="15" customHeight="1">
      <c r="A32" s="169" t="s">
        <v>43</v>
      </c>
      <c r="B32" s="553">
        <v>829</v>
      </c>
      <c r="C32" s="569">
        <v>10</v>
      </c>
      <c r="D32" s="586">
        <f>$D$8</f>
        <v>1</v>
      </c>
      <c r="E32" s="601">
        <f t="shared" si="8"/>
        <v>8290</v>
      </c>
      <c r="F32" s="965">
        <f>E32/$F$123</f>
        <v>0.02382529648699021</v>
      </c>
      <c r="G32" s="483"/>
      <c r="H32" s="884">
        <f>('3.Contribution Split'!$D$125*J32)+($H$129*J32)</f>
        <v>1560630.7898028928</v>
      </c>
      <c r="I32" s="946">
        <f>H32/B32</f>
        <v>1882.5461879407633</v>
      </c>
      <c r="J32" s="883">
        <f>F32/$F$127</f>
        <v>0.05058888143040215</v>
      </c>
      <c r="K32" s="553">
        <f t="shared" si="9"/>
        <v>829</v>
      </c>
      <c r="L32" s="569">
        <f t="shared" si="9"/>
        <v>10</v>
      </c>
      <c r="M32" s="481">
        <f t="shared" si="9"/>
        <v>1</v>
      </c>
      <c r="N32" s="601">
        <f t="shared" si="10"/>
        <v>8290</v>
      </c>
      <c r="O32" s="965">
        <f>N32/$N$50</f>
        <v>0.08944949178877404</v>
      </c>
      <c r="P32" s="483"/>
      <c r="Q32" s="884">
        <f>('3.Contribution Split'!$J$125*S32)+($N$129*S32)</f>
        <v>8245716.164157919</v>
      </c>
      <c r="R32" s="959">
        <f>Q32/K32</f>
        <v>9946.581621420892</v>
      </c>
      <c r="S32" s="966">
        <f>O32/$N$127</f>
        <v>0.17908835601641823</v>
      </c>
      <c r="T32" s="527">
        <f t="shared" si="11"/>
        <v>9806346.953960812</v>
      </c>
      <c r="U32" s="506">
        <f t="shared" si="11"/>
        <v>11829.127809361655</v>
      </c>
      <c r="V32" s="513"/>
    </row>
    <row r="33" spans="1:22" ht="15" customHeight="1">
      <c r="A33" s="170" t="s">
        <v>10</v>
      </c>
      <c r="B33" s="554"/>
      <c r="C33" s="570"/>
      <c r="D33" s="587"/>
      <c r="E33" s="601"/>
      <c r="F33" s="482"/>
      <c r="G33" s="483"/>
      <c r="H33" s="484"/>
      <c r="I33" s="946"/>
      <c r="J33" s="883"/>
      <c r="K33" s="554"/>
      <c r="L33" s="570"/>
      <c r="M33" s="485"/>
      <c r="N33" s="601"/>
      <c r="O33" s="482"/>
      <c r="P33" s="483"/>
      <c r="Q33" s="484"/>
      <c r="R33" s="959"/>
      <c r="S33" s="506"/>
      <c r="T33" s="527"/>
      <c r="U33" s="506"/>
      <c r="V33" s="513"/>
    </row>
    <row r="34" spans="1:22" ht="15" customHeight="1">
      <c r="A34" s="169" t="s">
        <v>52</v>
      </c>
      <c r="B34" s="553">
        <v>6000</v>
      </c>
      <c r="C34" s="569">
        <v>0.31</v>
      </c>
      <c r="D34" s="586">
        <v>1</v>
      </c>
      <c r="E34" s="601">
        <f t="shared" si="8"/>
        <v>1860</v>
      </c>
      <c r="F34" s="482">
        <f>E34/$F$123</f>
        <v>0.005345603313124462</v>
      </c>
      <c r="G34" s="483"/>
      <c r="H34" s="830">
        <f>F34*'3.Contribution Split'!$D$126</f>
        <v>296238.90248441225</v>
      </c>
      <c r="I34" s="946">
        <f>H34/B34</f>
        <v>49.37315041406871</v>
      </c>
      <c r="J34" s="872"/>
      <c r="K34" s="553">
        <f aca="true" t="shared" si="12" ref="K34:M38">B34</f>
        <v>6000</v>
      </c>
      <c r="L34" s="569">
        <f t="shared" si="12"/>
        <v>0.31</v>
      </c>
      <c r="M34" s="481">
        <f t="shared" si="12"/>
        <v>1</v>
      </c>
      <c r="N34" s="601">
        <f t="shared" si="10"/>
        <v>1860</v>
      </c>
      <c r="O34" s="482">
        <f>N34/$N$50</f>
        <v>0.02006948790435702</v>
      </c>
      <c r="P34" s="483"/>
      <c r="Q34" s="830">
        <f>O34*'3.Contribution Split'!$J$126</f>
        <v>458306.8257838969</v>
      </c>
      <c r="R34" s="959">
        <f>Q34/K34</f>
        <v>76.38447096398282</v>
      </c>
      <c r="S34" s="506"/>
      <c r="T34" s="527">
        <f aca="true" t="shared" si="13" ref="T34:U38">Q34+H34</f>
        <v>754545.7282683091</v>
      </c>
      <c r="U34" s="506">
        <f t="shared" si="13"/>
        <v>125.75762137805154</v>
      </c>
      <c r="V34" s="513"/>
    </row>
    <row r="35" spans="1:22" ht="15" customHeight="1">
      <c r="A35" s="169" t="s">
        <v>53</v>
      </c>
      <c r="B35" s="553">
        <v>10000</v>
      </c>
      <c r="C35" s="569">
        <v>0.31</v>
      </c>
      <c r="D35" s="586">
        <v>1</v>
      </c>
      <c r="E35" s="601">
        <f t="shared" si="8"/>
        <v>3100</v>
      </c>
      <c r="F35" s="482">
        <f>E35/$F$123</f>
        <v>0.008909338855207437</v>
      </c>
      <c r="G35" s="483"/>
      <c r="H35" s="830">
        <f>F35*'3.Contribution Split'!$D$126</f>
        <v>493731.5041406871</v>
      </c>
      <c r="I35" s="946">
        <f>H35/B35</f>
        <v>49.37315041406871</v>
      </c>
      <c r="J35" s="872"/>
      <c r="K35" s="553">
        <f t="shared" si="12"/>
        <v>10000</v>
      </c>
      <c r="L35" s="569">
        <f t="shared" si="12"/>
        <v>0.31</v>
      </c>
      <c r="M35" s="481">
        <f t="shared" si="12"/>
        <v>1</v>
      </c>
      <c r="N35" s="601">
        <f t="shared" si="10"/>
        <v>3100</v>
      </c>
      <c r="O35" s="482">
        <f>N35/$N$50</f>
        <v>0.033449146507261704</v>
      </c>
      <c r="P35" s="483"/>
      <c r="Q35" s="830">
        <f>O35*'3.Contribution Split'!$J$126</f>
        <v>763844.7096398283</v>
      </c>
      <c r="R35" s="959">
        <f>Q35/K35</f>
        <v>76.38447096398284</v>
      </c>
      <c r="S35" s="506"/>
      <c r="T35" s="527">
        <f t="shared" si="13"/>
        <v>1257576.2137805154</v>
      </c>
      <c r="U35" s="506">
        <f t="shared" si="13"/>
        <v>125.75762137805154</v>
      </c>
      <c r="V35" s="513"/>
    </row>
    <row r="36" spans="1:22" ht="15" customHeight="1">
      <c r="A36" s="169" t="s">
        <v>55</v>
      </c>
      <c r="B36" s="553">
        <v>2000</v>
      </c>
      <c r="C36" s="569">
        <v>0.31</v>
      </c>
      <c r="D36" s="586">
        <v>1</v>
      </c>
      <c r="E36" s="601">
        <f t="shared" si="8"/>
        <v>620</v>
      </c>
      <c r="F36" s="482">
        <f>E36/$F$123</f>
        <v>0.0017818677710414873</v>
      </c>
      <c r="G36" s="483"/>
      <c r="H36" s="830">
        <f>F36*'3.Contribution Split'!$D$126</f>
        <v>98746.30082813742</v>
      </c>
      <c r="I36" s="946">
        <f>H36/B36</f>
        <v>49.37315041406871</v>
      </c>
      <c r="J36" s="872"/>
      <c r="K36" s="553">
        <f t="shared" si="12"/>
        <v>2000</v>
      </c>
      <c r="L36" s="569">
        <f t="shared" si="12"/>
        <v>0.31</v>
      </c>
      <c r="M36" s="481">
        <f t="shared" si="12"/>
        <v>1</v>
      </c>
      <c r="N36" s="601">
        <f t="shared" si="10"/>
        <v>620</v>
      </c>
      <c r="O36" s="482">
        <f>N36/$N$50</f>
        <v>0.00668982930145234</v>
      </c>
      <c r="P36" s="483"/>
      <c r="Q36" s="830">
        <f>O36*'3.Contribution Split'!$J$126</f>
        <v>152768.94192796564</v>
      </c>
      <c r="R36" s="959">
        <f>Q36/K36</f>
        <v>76.38447096398282</v>
      </c>
      <c r="S36" s="506"/>
      <c r="T36" s="527">
        <f t="shared" si="13"/>
        <v>251515.24275610305</v>
      </c>
      <c r="U36" s="506">
        <f t="shared" si="13"/>
        <v>125.75762137805154</v>
      </c>
      <c r="V36" s="513"/>
    </row>
    <row r="37" spans="1:22" ht="15" customHeight="1">
      <c r="A37" s="169" t="s">
        <v>56</v>
      </c>
      <c r="B37" s="553">
        <v>48000</v>
      </c>
      <c r="C37" s="569">
        <v>0.31</v>
      </c>
      <c r="D37" s="586">
        <v>1</v>
      </c>
      <c r="E37" s="601">
        <f t="shared" si="8"/>
        <v>14880</v>
      </c>
      <c r="F37" s="482">
        <f>E37/$F$123</f>
        <v>0.0427648265049957</v>
      </c>
      <c r="G37" s="483"/>
      <c r="H37" s="830">
        <f>F37*'3.Contribution Split'!$D$126</f>
        <v>2369911.219875298</v>
      </c>
      <c r="I37" s="946">
        <f>H37/B37</f>
        <v>49.37315041406871</v>
      </c>
      <c r="J37" s="872"/>
      <c r="K37" s="553">
        <f t="shared" si="12"/>
        <v>48000</v>
      </c>
      <c r="L37" s="569">
        <f t="shared" si="12"/>
        <v>0.31</v>
      </c>
      <c r="M37" s="481">
        <f t="shared" si="12"/>
        <v>1</v>
      </c>
      <c r="N37" s="601">
        <f t="shared" si="10"/>
        <v>14880</v>
      </c>
      <c r="O37" s="482">
        <f>N37/$N$50</f>
        <v>0.16055590323485616</v>
      </c>
      <c r="P37" s="483"/>
      <c r="Q37" s="830">
        <f>O37*'3.Contribution Split'!$J$126</f>
        <v>3666454.606271175</v>
      </c>
      <c r="R37" s="959">
        <f>Q37/K37</f>
        <v>76.38447096398282</v>
      </c>
      <c r="S37" s="506"/>
      <c r="T37" s="527">
        <f t="shared" si="13"/>
        <v>6036365.826146473</v>
      </c>
      <c r="U37" s="506">
        <f t="shared" si="13"/>
        <v>125.75762137805154</v>
      </c>
      <c r="V37" s="513"/>
    </row>
    <row r="38" spans="1:22" ht="15" customHeight="1">
      <c r="A38" s="169" t="s">
        <v>63</v>
      </c>
      <c r="B38" s="553">
        <v>4000</v>
      </c>
      <c r="C38" s="569">
        <v>0.31</v>
      </c>
      <c r="D38" s="586">
        <v>1</v>
      </c>
      <c r="E38" s="601">
        <f t="shared" si="8"/>
        <v>1240</v>
      </c>
      <c r="F38" s="482">
        <f>E38/$F$123</f>
        <v>0.0035637355420829746</v>
      </c>
      <c r="G38" s="483"/>
      <c r="H38" s="830">
        <f>F38*'3.Contribution Split'!$D$126</f>
        <v>197492.60165627484</v>
      </c>
      <c r="I38" s="946">
        <f>H38/B38</f>
        <v>49.37315041406871</v>
      </c>
      <c r="J38" s="872"/>
      <c r="K38" s="553">
        <f t="shared" si="12"/>
        <v>4000</v>
      </c>
      <c r="L38" s="569">
        <f t="shared" si="12"/>
        <v>0.31</v>
      </c>
      <c r="M38" s="481">
        <f t="shared" si="12"/>
        <v>1</v>
      </c>
      <c r="N38" s="601">
        <f t="shared" si="10"/>
        <v>1240</v>
      </c>
      <c r="O38" s="482">
        <f>N38/$N$50</f>
        <v>0.01337965860290468</v>
      </c>
      <c r="P38" s="483"/>
      <c r="Q38" s="830">
        <f>O38*'3.Contribution Split'!$J$126</f>
        <v>305537.8838559313</v>
      </c>
      <c r="R38" s="959">
        <f>Q38/K38</f>
        <v>76.38447096398282</v>
      </c>
      <c r="S38" s="506"/>
      <c r="T38" s="527">
        <f t="shared" si="13"/>
        <v>503030.4855122061</v>
      </c>
      <c r="U38" s="506">
        <f t="shared" si="13"/>
        <v>125.75762137805154</v>
      </c>
      <c r="V38" s="513"/>
    </row>
    <row r="39" spans="1:22" ht="15" customHeight="1">
      <c r="A39" s="170" t="s">
        <v>11</v>
      </c>
      <c r="B39" s="554"/>
      <c r="C39" s="570"/>
      <c r="D39" s="586"/>
      <c r="E39" s="601"/>
      <c r="F39" s="482"/>
      <c r="G39" s="483"/>
      <c r="H39" s="830"/>
      <c r="I39" s="946"/>
      <c r="J39" s="872"/>
      <c r="K39" s="554"/>
      <c r="L39" s="570"/>
      <c r="M39" s="481"/>
      <c r="N39" s="601"/>
      <c r="O39" s="482"/>
      <c r="P39" s="483"/>
      <c r="Q39" s="830"/>
      <c r="R39" s="959"/>
      <c r="S39" s="506"/>
      <c r="T39" s="527"/>
      <c r="U39" s="506"/>
      <c r="V39" s="513"/>
    </row>
    <row r="40" spans="1:22" ht="15" customHeight="1">
      <c r="A40" s="169" t="s">
        <v>58</v>
      </c>
      <c r="B40" s="553">
        <v>5000</v>
      </c>
      <c r="C40" s="569">
        <v>0.23</v>
      </c>
      <c r="D40" s="586">
        <f>$D$14</f>
        <v>1</v>
      </c>
      <c r="E40" s="601">
        <f t="shared" si="8"/>
        <v>1150</v>
      </c>
      <c r="F40" s="482">
        <f>E40/$F$123</f>
        <v>0.0033050773172543717</v>
      </c>
      <c r="G40" s="483"/>
      <c r="H40" s="830">
        <f>F40*'3.Contribution Split'!$D$126</f>
        <v>183158.46121348068</v>
      </c>
      <c r="I40" s="946">
        <f>H40/B40</f>
        <v>36.63169224269614</v>
      </c>
      <c r="J40" s="872"/>
      <c r="K40" s="553">
        <f aca="true" t="shared" si="14" ref="K40:M42">B40</f>
        <v>5000</v>
      </c>
      <c r="L40" s="569">
        <f t="shared" si="14"/>
        <v>0.23</v>
      </c>
      <c r="M40" s="481">
        <f t="shared" si="14"/>
        <v>1</v>
      </c>
      <c r="N40" s="601">
        <f t="shared" si="10"/>
        <v>1150</v>
      </c>
      <c r="O40" s="482">
        <f>N40/$N$50</f>
        <v>0.01240855434946805</v>
      </c>
      <c r="P40" s="483"/>
      <c r="Q40" s="830">
        <f>O40*'3.Contribution Split'!$J$126</f>
        <v>283361.7471244524</v>
      </c>
      <c r="R40" s="959">
        <f>Q40/K40</f>
        <v>56.67234942489048</v>
      </c>
      <c r="S40" s="506"/>
      <c r="T40" s="527">
        <f aca="true" t="shared" si="15" ref="T40:U42">Q40+H40</f>
        <v>466520.20833793306</v>
      </c>
      <c r="U40" s="506">
        <f t="shared" si="15"/>
        <v>93.30404166758662</v>
      </c>
      <c r="V40" s="513"/>
    </row>
    <row r="41" spans="1:22" ht="15" customHeight="1">
      <c r="A41" s="169" t="s">
        <v>59</v>
      </c>
      <c r="B41" s="553">
        <v>5000</v>
      </c>
      <c r="C41" s="569">
        <v>0.23</v>
      </c>
      <c r="D41" s="586">
        <f>$D$14</f>
        <v>1</v>
      </c>
      <c r="E41" s="601">
        <f t="shared" si="8"/>
        <v>1150</v>
      </c>
      <c r="F41" s="482">
        <f>E41/$F$123</f>
        <v>0.0033050773172543717</v>
      </c>
      <c r="G41" s="483"/>
      <c r="H41" s="830">
        <f>F41*'3.Contribution Split'!$D$126</f>
        <v>183158.46121348068</v>
      </c>
      <c r="I41" s="946">
        <f>H41/B41</f>
        <v>36.63169224269614</v>
      </c>
      <c r="J41" s="872"/>
      <c r="K41" s="553">
        <f t="shared" si="14"/>
        <v>5000</v>
      </c>
      <c r="L41" s="569">
        <f t="shared" si="14"/>
        <v>0.23</v>
      </c>
      <c r="M41" s="481">
        <f t="shared" si="14"/>
        <v>1</v>
      </c>
      <c r="N41" s="601">
        <f t="shared" si="10"/>
        <v>1150</v>
      </c>
      <c r="O41" s="482">
        <f>N41/$N$50</f>
        <v>0.01240855434946805</v>
      </c>
      <c r="P41" s="483"/>
      <c r="Q41" s="830">
        <f>O41*'3.Contribution Split'!$J$126</f>
        <v>283361.7471244524</v>
      </c>
      <c r="R41" s="959">
        <f>Q41/K41</f>
        <v>56.67234942489048</v>
      </c>
      <c r="S41" s="506"/>
      <c r="T41" s="527">
        <f t="shared" si="15"/>
        <v>466520.20833793306</v>
      </c>
      <c r="U41" s="506">
        <f t="shared" si="15"/>
        <v>93.30404166758662</v>
      </c>
      <c r="V41" s="513"/>
    </row>
    <row r="42" spans="1:22" s="146" customFormat="1" ht="15" customHeight="1">
      <c r="A42" s="169" t="s">
        <v>296</v>
      </c>
      <c r="B42" s="553">
        <v>1</v>
      </c>
      <c r="C42" s="569">
        <v>578</v>
      </c>
      <c r="D42" s="586">
        <f>$D$14</f>
        <v>1</v>
      </c>
      <c r="E42" s="601">
        <f t="shared" si="8"/>
        <v>578</v>
      </c>
      <c r="F42" s="482">
        <f>E42/$F$123</f>
        <v>0.001661160599454806</v>
      </c>
      <c r="G42" s="483"/>
      <c r="H42" s="830">
        <f>F42*'3.Contribution Split'!$D$126</f>
        <v>92057.03528816682</v>
      </c>
      <c r="I42" s="946">
        <f>H42/B42</f>
        <v>92057.03528816682</v>
      </c>
      <c r="J42" s="872"/>
      <c r="K42" s="553">
        <f t="shared" si="14"/>
        <v>1</v>
      </c>
      <c r="L42" s="569">
        <f t="shared" si="14"/>
        <v>578</v>
      </c>
      <c r="M42" s="481">
        <f t="shared" si="14"/>
        <v>1</v>
      </c>
      <c r="N42" s="601">
        <f t="shared" si="10"/>
        <v>578</v>
      </c>
      <c r="O42" s="482">
        <f>N42/$N$50</f>
        <v>0.006236647316515246</v>
      </c>
      <c r="P42" s="483"/>
      <c r="Q42" s="830">
        <f>O42*'3.Contribution Split'!$J$126</f>
        <v>142420.07811994216</v>
      </c>
      <c r="R42" s="959">
        <f>Q42/K42</f>
        <v>142420.07811994216</v>
      </c>
      <c r="S42" s="506"/>
      <c r="T42" s="527">
        <f t="shared" si="15"/>
        <v>234477.113408109</v>
      </c>
      <c r="U42" s="506">
        <f t="shared" si="15"/>
        <v>234477.113408109</v>
      </c>
      <c r="V42" s="665" t="s">
        <v>316</v>
      </c>
    </row>
    <row r="43" spans="1:22" ht="15" customHeight="1">
      <c r="A43" s="170" t="s">
        <v>5</v>
      </c>
      <c r="B43" s="554"/>
      <c r="C43" s="570"/>
      <c r="D43" s="586"/>
      <c r="E43" s="601"/>
      <c r="F43" s="482"/>
      <c r="G43" s="483"/>
      <c r="H43" s="830"/>
      <c r="I43" s="946"/>
      <c r="J43" s="872"/>
      <c r="K43" s="554"/>
      <c r="L43" s="570"/>
      <c r="M43" s="481"/>
      <c r="N43" s="601"/>
      <c r="O43" s="482"/>
      <c r="P43" s="483"/>
      <c r="Q43" s="830"/>
      <c r="R43" s="959"/>
      <c r="S43" s="506"/>
      <c r="T43" s="527"/>
      <c r="U43" s="506"/>
      <c r="V43" s="513"/>
    </row>
    <row r="44" spans="1:22" ht="15" customHeight="1">
      <c r="A44" s="169" t="s">
        <v>453</v>
      </c>
      <c r="B44" s="553">
        <v>5000</v>
      </c>
      <c r="C44" s="569">
        <v>2.11</v>
      </c>
      <c r="D44" s="586">
        <f>$D$14</f>
        <v>1</v>
      </c>
      <c r="E44" s="601">
        <f t="shared" si="8"/>
        <v>10550</v>
      </c>
      <c r="F44" s="482">
        <f>E44/$F$123</f>
        <v>0.030320491910464018</v>
      </c>
      <c r="G44" s="483"/>
      <c r="H44" s="830">
        <f>F44*'3.Contribution Split'!$D$126</f>
        <v>1680279.7963497576</v>
      </c>
      <c r="I44" s="946">
        <f>H44/B44</f>
        <v>336.05595926995153</v>
      </c>
      <c r="J44" s="872"/>
      <c r="K44" s="553">
        <f aca="true" t="shared" si="16" ref="K44:M45">B44</f>
        <v>5000</v>
      </c>
      <c r="L44" s="569">
        <f t="shared" si="16"/>
        <v>2.11</v>
      </c>
      <c r="M44" s="481">
        <f t="shared" si="16"/>
        <v>1</v>
      </c>
      <c r="N44" s="601">
        <f t="shared" si="10"/>
        <v>10550</v>
      </c>
      <c r="O44" s="482">
        <f>N44/$N$50</f>
        <v>0.11383499859729386</v>
      </c>
      <c r="P44" s="483"/>
      <c r="Q44" s="830">
        <f>O44*'3.Contribution Split'!$J$126</f>
        <v>2599536.0279678027</v>
      </c>
      <c r="R44" s="959">
        <f>Q44/K44</f>
        <v>519.9072055935605</v>
      </c>
      <c r="S44" s="506"/>
      <c r="T44" s="527">
        <f>Q44+H44</f>
        <v>4279815.8243175605</v>
      </c>
      <c r="U44" s="506">
        <f>R44+I44</f>
        <v>855.963164863512</v>
      </c>
      <c r="V44" s="513"/>
    </row>
    <row r="45" spans="1:22" ht="15" customHeight="1">
      <c r="A45" s="169" t="s">
        <v>454</v>
      </c>
      <c r="B45" s="553">
        <v>2000</v>
      </c>
      <c r="C45" s="569">
        <v>2.11</v>
      </c>
      <c r="D45" s="586">
        <f>$D$14</f>
        <v>1</v>
      </c>
      <c r="E45" s="601">
        <f t="shared" si="8"/>
        <v>4220</v>
      </c>
      <c r="F45" s="482">
        <f>E45/$F$123</f>
        <v>0.012128196764185608</v>
      </c>
      <c r="G45" s="483"/>
      <c r="H45" s="830">
        <f>F45*'3.Contribution Split'!$D$126</f>
        <v>672111.9185399031</v>
      </c>
      <c r="I45" s="946">
        <f>H45/B45</f>
        <v>336.0559592699516</v>
      </c>
      <c r="J45" s="872"/>
      <c r="K45" s="553">
        <f t="shared" si="16"/>
        <v>2000</v>
      </c>
      <c r="L45" s="569">
        <f t="shared" si="16"/>
        <v>2.11</v>
      </c>
      <c r="M45" s="481">
        <f t="shared" si="16"/>
        <v>1</v>
      </c>
      <c r="N45" s="601">
        <f t="shared" si="10"/>
        <v>4220</v>
      </c>
      <c r="O45" s="482">
        <f>N45/$N$50</f>
        <v>0.04553399943891754</v>
      </c>
      <c r="P45" s="483"/>
      <c r="Q45" s="830">
        <f>O45*'3.Contribution Split'!$J$126</f>
        <v>1039814.411187121</v>
      </c>
      <c r="R45" s="959">
        <f>Q45/K45</f>
        <v>519.9072055935604</v>
      </c>
      <c r="S45" s="506"/>
      <c r="T45" s="527">
        <f>Q45+H45</f>
        <v>1711926.329727024</v>
      </c>
      <c r="U45" s="506">
        <f>R45+I45</f>
        <v>855.963164863512</v>
      </c>
      <c r="V45" s="513"/>
    </row>
    <row r="46" spans="1:22" ht="15" customHeight="1">
      <c r="A46" s="170" t="s">
        <v>9</v>
      </c>
      <c r="B46" s="554"/>
      <c r="C46" s="570"/>
      <c r="D46" s="586"/>
      <c r="E46" s="601"/>
      <c r="F46" s="482"/>
      <c r="G46" s="483"/>
      <c r="H46" s="830"/>
      <c r="I46" s="946"/>
      <c r="J46" s="872"/>
      <c r="K46" s="554"/>
      <c r="L46" s="570"/>
      <c r="M46" s="481"/>
      <c r="N46" s="601"/>
      <c r="O46" s="482"/>
      <c r="P46" s="483"/>
      <c r="Q46" s="830"/>
      <c r="R46" s="959"/>
      <c r="S46" s="506"/>
      <c r="T46" s="527"/>
      <c r="U46" s="506"/>
      <c r="V46" s="513"/>
    </row>
    <row r="47" spans="1:22" ht="15" customHeight="1">
      <c r="A47" s="169" t="s">
        <v>60</v>
      </c>
      <c r="B47" s="553">
        <v>4000</v>
      </c>
      <c r="C47" s="569">
        <v>0.16</v>
      </c>
      <c r="D47" s="586">
        <f>$D$14</f>
        <v>1</v>
      </c>
      <c r="E47" s="601">
        <f>B47*C47*D47</f>
        <v>640</v>
      </c>
      <c r="F47" s="482">
        <f>E47/$F$123</f>
        <v>0.0018393473765589547</v>
      </c>
      <c r="G47" s="483"/>
      <c r="H47" s="830">
        <f>F47*'3.Contribution Split'!$D$126</f>
        <v>101931.66537098055</v>
      </c>
      <c r="I47" s="946">
        <f>H47/B47</f>
        <v>25.48291634274514</v>
      </c>
      <c r="J47" s="872"/>
      <c r="K47" s="553">
        <f aca="true" t="shared" si="17" ref="K47:M49">B47</f>
        <v>4000</v>
      </c>
      <c r="L47" s="569">
        <f t="shared" si="17"/>
        <v>0.16</v>
      </c>
      <c r="M47" s="481">
        <f t="shared" si="17"/>
        <v>1</v>
      </c>
      <c r="N47" s="601">
        <f>K47*L47*M47</f>
        <v>640</v>
      </c>
      <c r="O47" s="482">
        <f>N47/$N$50</f>
        <v>0.0069056302466604805</v>
      </c>
      <c r="P47" s="483"/>
      <c r="Q47" s="830">
        <f>O47*'3.Contribution Split'!$J$126</f>
        <v>157696.97231273874</v>
      </c>
      <c r="R47" s="959">
        <f>Q47/K47</f>
        <v>39.42424307818469</v>
      </c>
      <c r="S47" s="506"/>
      <c r="T47" s="527">
        <f aca="true" t="shared" si="18" ref="T47:U49">Q47+H47</f>
        <v>259628.63768371928</v>
      </c>
      <c r="U47" s="506">
        <f t="shared" si="18"/>
        <v>64.90715942092983</v>
      </c>
      <c r="V47" s="513"/>
    </row>
    <row r="48" spans="1:22" ht="15" customHeight="1">
      <c r="A48" s="169" t="s">
        <v>62</v>
      </c>
      <c r="B48" s="553">
        <v>36000</v>
      </c>
      <c r="C48" s="569">
        <v>0.16</v>
      </c>
      <c r="D48" s="586">
        <f>$D$14</f>
        <v>1</v>
      </c>
      <c r="E48" s="601">
        <f>B48*C48*D48</f>
        <v>5760</v>
      </c>
      <c r="F48" s="482">
        <f>E48/$F$123</f>
        <v>0.01655412638903059</v>
      </c>
      <c r="G48" s="483"/>
      <c r="H48" s="830">
        <f>F48*'3.Contribution Split'!$D$126</f>
        <v>917384.988338825</v>
      </c>
      <c r="I48" s="946">
        <f>H48/B48</f>
        <v>25.48291634274514</v>
      </c>
      <c r="J48" s="872"/>
      <c r="K48" s="553">
        <f t="shared" si="17"/>
        <v>36000</v>
      </c>
      <c r="L48" s="569">
        <f t="shared" si="17"/>
        <v>0.16</v>
      </c>
      <c r="M48" s="481">
        <f t="shared" si="17"/>
        <v>1</v>
      </c>
      <c r="N48" s="601">
        <f>K48*L48*M48</f>
        <v>5760</v>
      </c>
      <c r="O48" s="482">
        <f>N48/$N$50</f>
        <v>0.062150672219944324</v>
      </c>
      <c r="P48" s="483"/>
      <c r="Q48" s="830">
        <f>O48*'3.Contribution Split'!$J$126</f>
        <v>1419272.7508146486</v>
      </c>
      <c r="R48" s="959">
        <f>Q48/K48</f>
        <v>39.42424307818468</v>
      </c>
      <c r="S48" s="506"/>
      <c r="T48" s="527">
        <f t="shared" si="18"/>
        <v>2336657.7391534736</v>
      </c>
      <c r="U48" s="506">
        <f t="shared" si="18"/>
        <v>64.90715942092982</v>
      </c>
      <c r="V48" s="513"/>
    </row>
    <row r="49" spans="1:22" ht="15" customHeight="1" thickBot="1">
      <c r="A49" s="203" t="s">
        <v>63</v>
      </c>
      <c r="B49" s="555">
        <v>4000</v>
      </c>
      <c r="C49" s="571">
        <v>0.16</v>
      </c>
      <c r="D49" s="586">
        <f>$D$14</f>
        <v>1</v>
      </c>
      <c r="E49" s="602">
        <f>B49*C49*D49</f>
        <v>640</v>
      </c>
      <c r="F49" s="482">
        <f>E49/$F$123</f>
        <v>0.0018393473765589547</v>
      </c>
      <c r="G49" s="483"/>
      <c r="H49" s="830">
        <f>F49*'3.Contribution Split'!$D$126</f>
        <v>101931.66537098055</v>
      </c>
      <c r="I49" s="948">
        <f>H49/B49</f>
        <v>25.48291634274514</v>
      </c>
      <c r="J49" s="873"/>
      <c r="K49" s="553">
        <f t="shared" si="17"/>
        <v>4000</v>
      </c>
      <c r="L49" s="569">
        <f t="shared" si="17"/>
        <v>0.16</v>
      </c>
      <c r="M49" s="481">
        <f t="shared" si="17"/>
        <v>1</v>
      </c>
      <c r="N49" s="602">
        <f>K49*L49*M49</f>
        <v>640</v>
      </c>
      <c r="O49" s="487">
        <f>N49/$N$50</f>
        <v>0.0069056302466604805</v>
      </c>
      <c r="P49" s="483"/>
      <c r="Q49" s="830">
        <f>O49*'3.Contribution Split'!$J$126</f>
        <v>157696.97231273874</v>
      </c>
      <c r="R49" s="962">
        <f>Q49/K49</f>
        <v>39.42424307818469</v>
      </c>
      <c r="S49" s="507"/>
      <c r="T49" s="528">
        <f t="shared" si="18"/>
        <v>259628.63768371928</v>
      </c>
      <c r="U49" s="507">
        <f t="shared" si="18"/>
        <v>64.90715942092983</v>
      </c>
      <c r="V49" s="515"/>
    </row>
    <row r="50" spans="1:22" ht="15" customHeight="1" thickBot="1">
      <c r="A50" s="627" t="s">
        <v>298</v>
      </c>
      <c r="B50" s="556"/>
      <c r="C50" s="572"/>
      <c r="D50" s="588"/>
      <c r="E50" s="508">
        <f>SUM($E$28:$E$49)</f>
        <v>92678</v>
      </c>
      <c r="F50" s="489">
        <f>SUM($F$28:$F$49)</f>
        <v>0.2663547440073919</v>
      </c>
      <c r="G50" s="490"/>
      <c r="H50" s="491">
        <f>SUM($H$28:$H$49)</f>
        <v>16102440.824648175</v>
      </c>
      <c r="I50" s="949"/>
      <c r="J50" s="874"/>
      <c r="K50" s="556"/>
      <c r="L50" s="572"/>
      <c r="M50" s="488"/>
      <c r="N50" s="508">
        <f>SUM($N$28:$N$49)</f>
        <v>92678</v>
      </c>
      <c r="O50" s="509">
        <f>SUM($O$29:$O$49)</f>
        <v>1.0000000000000002</v>
      </c>
      <c r="P50" s="490"/>
      <c r="Q50" s="491">
        <f>SUM($Q$28:$Q$49)</f>
        <v>57472800</v>
      </c>
      <c r="R50" s="963"/>
      <c r="S50" s="969">
        <f>SUM(S29:S49)</f>
        <v>1</v>
      </c>
      <c r="T50" s="532">
        <f>SUM($T$28:$T$49)</f>
        <v>73575240.82464819</v>
      </c>
      <c r="U50" s="533"/>
      <c r="V50" s="624"/>
    </row>
    <row r="51" spans="1:47" s="225" customFormat="1" ht="15" customHeight="1" thickBot="1">
      <c r="A51" s="616"/>
      <c r="B51" s="617"/>
      <c r="C51" s="618"/>
      <c r="D51" s="619"/>
      <c r="E51" s="617"/>
      <c r="F51" s="620"/>
      <c r="G51" s="620"/>
      <c r="H51" s="620"/>
      <c r="I51" s="620"/>
      <c r="J51" s="620"/>
      <c r="K51" s="617"/>
      <c r="L51" s="618"/>
      <c r="M51" s="620"/>
      <c r="N51" s="617"/>
      <c r="O51" s="620"/>
      <c r="P51" s="620"/>
      <c r="Q51" s="620"/>
      <c r="R51" s="620"/>
      <c r="S51" s="620"/>
      <c r="T51" s="620"/>
      <c r="U51" s="620"/>
      <c r="V51" s="62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38" s="371" customFormat="1" ht="15" customHeight="1" thickBot="1">
      <c r="A52" s="368" t="s">
        <v>102</v>
      </c>
      <c r="B52" s="552"/>
      <c r="C52" s="567"/>
      <c r="D52" s="584"/>
      <c r="E52" s="599"/>
      <c r="F52" s="369"/>
      <c r="G52" s="369"/>
      <c r="H52" s="369"/>
      <c r="I52" s="369"/>
      <c r="J52" s="369"/>
      <c r="K52" s="552"/>
      <c r="L52" s="567"/>
      <c r="M52" s="369"/>
      <c r="N52" s="599"/>
      <c r="O52" s="369"/>
      <c r="P52" s="369"/>
      <c r="Q52" s="369"/>
      <c r="R52" s="369"/>
      <c r="S52" s="370"/>
      <c r="T52" s="368"/>
      <c r="U52" s="370"/>
      <c r="V52" s="370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s="56" customFormat="1" ht="15" customHeight="1">
      <c r="A53" s="470" t="s">
        <v>7</v>
      </c>
      <c r="B53" s="558"/>
      <c r="C53" s="574"/>
      <c r="D53" s="590"/>
      <c r="E53" s="603"/>
      <c r="F53" s="493"/>
      <c r="G53" s="493"/>
      <c r="H53" s="494"/>
      <c r="I53" s="950"/>
      <c r="J53" s="34"/>
      <c r="K53" s="558"/>
      <c r="L53" s="574"/>
      <c r="M53" s="495"/>
      <c r="N53" s="603"/>
      <c r="O53" s="493"/>
      <c r="P53" s="493"/>
      <c r="Q53" s="1000"/>
      <c r="R53" s="961"/>
      <c r="S53" s="512"/>
      <c r="T53" s="531"/>
      <c r="U53" s="526"/>
      <c r="V53" s="360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s="56" customFormat="1" ht="15" customHeight="1">
      <c r="A54" s="169" t="s">
        <v>366</v>
      </c>
      <c r="B54" s="553">
        <v>252</v>
      </c>
      <c r="C54" s="569">
        <v>10</v>
      </c>
      <c r="D54" s="586">
        <f aca="true" t="shared" si="19" ref="D54:D68">$D$8</f>
        <v>1</v>
      </c>
      <c r="E54" s="601">
        <f aca="true" t="shared" si="20" ref="E54:E61">B54*C54*D54</f>
        <v>2520</v>
      </c>
      <c r="F54" s="965">
        <f aca="true" t="shared" si="21" ref="F54:F68">E54/$F$123</f>
        <v>0.007242430295200884</v>
      </c>
      <c r="G54" s="483"/>
      <c r="H54" s="884">
        <f>('3.Contribution Split'!$D$125*J54)+($H$129*J54)</f>
        <v>474401.6393610723</v>
      </c>
      <c r="I54" s="951">
        <f aca="true" t="shared" si="22" ref="I54:I68">H54/B54</f>
        <v>1882.546187940763</v>
      </c>
      <c r="J54" s="883">
        <f aca="true" t="shared" si="23" ref="J54:J68">F54/$F$127</f>
        <v>0.01537804357112345</v>
      </c>
      <c r="K54" s="553">
        <f aca="true" t="shared" si="24" ref="K54:M61">B54</f>
        <v>252</v>
      </c>
      <c r="L54" s="569">
        <f t="shared" si="24"/>
        <v>10</v>
      </c>
      <c r="M54" s="481">
        <f t="shared" si="24"/>
        <v>1</v>
      </c>
      <c r="N54" s="601">
        <f>K54*L54*M54</f>
        <v>2520</v>
      </c>
      <c r="O54" s="965">
        <f aca="true" t="shared" si="25" ref="O54:O68">N54/$N$87</f>
        <v>0.06393829447136731</v>
      </c>
      <c r="P54" s="483"/>
      <c r="Q54" s="1001">
        <f>('3.Contribution Split'!$M$125*S54)+($U$129*S54)</f>
        <v>0</v>
      </c>
      <c r="R54" s="959">
        <f aca="true" t="shared" si="26" ref="R54:R60">Q54/K54</f>
        <v>0</v>
      </c>
      <c r="S54" s="966">
        <f aca="true" t="shared" si="27" ref="S54:S68">O54/$U$127</f>
        <v>0.1228489250719056</v>
      </c>
      <c r="T54" s="527">
        <f aca="true" t="shared" si="28" ref="T54:T68">Q54+H54</f>
        <v>474401.6393610723</v>
      </c>
      <c r="U54" s="506">
        <f aca="true" t="shared" si="29" ref="U54:U68">R54+I54</f>
        <v>1882.546187940763</v>
      </c>
      <c r="V54" s="513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s="676" customFormat="1" ht="15" customHeight="1">
      <c r="A55" s="169" t="s">
        <v>411</v>
      </c>
      <c r="B55" s="553">
        <v>200</v>
      </c>
      <c r="C55" s="569">
        <v>10</v>
      </c>
      <c r="D55" s="586">
        <f t="shared" si="19"/>
        <v>1</v>
      </c>
      <c r="E55" s="601">
        <f t="shared" si="20"/>
        <v>2000</v>
      </c>
      <c r="F55" s="482">
        <f t="shared" si="21"/>
        <v>0.005747960551746733</v>
      </c>
      <c r="G55" s="483"/>
      <c r="H55" s="884">
        <f>('3.Contribution Split'!$D$125*J55)+($H$129*J55)</f>
        <v>376509.23758815264</v>
      </c>
      <c r="I55" s="951">
        <f t="shared" si="22"/>
        <v>1882.5461879407633</v>
      </c>
      <c r="J55" s="883">
        <f t="shared" si="23"/>
        <v>0.01220479648501861</v>
      </c>
      <c r="K55" s="553">
        <f t="shared" si="24"/>
        <v>200</v>
      </c>
      <c r="L55" s="569">
        <f t="shared" si="24"/>
        <v>10</v>
      </c>
      <c r="M55" s="481">
        <f t="shared" si="24"/>
        <v>1</v>
      </c>
      <c r="N55" s="601">
        <f>K55*L55*M55</f>
        <v>2000</v>
      </c>
      <c r="O55" s="482">
        <f t="shared" si="25"/>
        <v>0.05074467815187882</v>
      </c>
      <c r="P55" s="483"/>
      <c r="Q55" s="1068">
        <f>('3.Contribution Split'!$M$125*S55)+($U$129*S55)</f>
        <v>0</v>
      </c>
      <c r="R55" s="959">
        <f t="shared" si="26"/>
        <v>0</v>
      </c>
      <c r="S55" s="966">
        <f t="shared" si="27"/>
        <v>0.09749914688246478</v>
      </c>
      <c r="T55" s="527">
        <f t="shared" si="28"/>
        <v>376509.23758815264</v>
      </c>
      <c r="U55" s="506">
        <f t="shared" si="29"/>
        <v>1882.5461879407633</v>
      </c>
      <c r="V55" s="513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</row>
    <row r="56" spans="1:22" s="676" customFormat="1" ht="15" customHeight="1">
      <c r="A56" s="169" t="s">
        <v>412</v>
      </c>
      <c r="B56" s="553">
        <v>131</v>
      </c>
      <c r="C56" s="569">
        <v>10</v>
      </c>
      <c r="D56" s="586">
        <f t="shared" si="19"/>
        <v>1</v>
      </c>
      <c r="E56" s="601">
        <f t="shared" si="20"/>
        <v>1310</v>
      </c>
      <c r="F56" s="482">
        <f t="shared" si="21"/>
        <v>0.00376491416139411</v>
      </c>
      <c r="G56" s="483"/>
      <c r="H56" s="884">
        <f>('3.Contribution Split'!$D$125*J56)+($H$129*J56)</f>
        <v>246613.55062023998</v>
      </c>
      <c r="I56" s="951">
        <f t="shared" si="22"/>
        <v>1882.5461879407633</v>
      </c>
      <c r="J56" s="883">
        <f t="shared" si="23"/>
        <v>0.00799414169768719</v>
      </c>
      <c r="K56" s="553">
        <f t="shared" si="24"/>
        <v>131</v>
      </c>
      <c r="L56" s="569">
        <f t="shared" si="24"/>
        <v>10</v>
      </c>
      <c r="M56" s="481">
        <f t="shared" si="24"/>
        <v>1</v>
      </c>
      <c r="N56" s="601">
        <f>K56*L56*M56</f>
        <v>1310</v>
      </c>
      <c r="O56" s="482">
        <f t="shared" si="25"/>
        <v>0.03323776418948063</v>
      </c>
      <c r="P56" s="483"/>
      <c r="Q56" s="1068">
        <f>('3.Contribution Split'!$M$125*S56)+($U$129*S56)</f>
        <v>0</v>
      </c>
      <c r="R56" s="959">
        <f t="shared" si="26"/>
        <v>0</v>
      </c>
      <c r="S56" s="966">
        <f t="shared" si="27"/>
        <v>0.06386194120801443</v>
      </c>
      <c r="T56" s="527">
        <f t="shared" si="28"/>
        <v>246613.55062023998</v>
      </c>
      <c r="U56" s="506">
        <f t="shared" si="29"/>
        <v>1882.5461879407633</v>
      </c>
      <c r="V56" s="513"/>
    </row>
    <row r="57" spans="1:22" s="676" customFormat="1" ht="15" customHeight="1">
      <c r="A57" s="169" t="s">
        <v>413</v>
      </c>
      <c r="B57" s="553">
        <v>220</v>
      </c>
      <c r="C57" s="569">
        <v>10</v>
      </c>
      <c r="D57" s="586">
        <f t="shared" si="19"/>
        <v>1</v>
      </c>
      <c r="E57" s="601">
        <f t="shared" si="20"/>
        <v>2200</v>
      </c>
      <c r="F57" s="482">
        <f t="shared" si="21"/>
        <v>0.006322756606921407</v>
      </c>
      <c r="G57" s="483"/>
      <c r="H57" s="884">
        <f>('3.Contribution Split'!$D$125*J57)+($H$129*J57)</f>
        <v>414160.16134696786</v>
      </c>
      <c r="I57" s="951">
        <f t="shared" si="22"/>
        <v>1882.546187940763</v>
      </c>
      <c r="J57" s="883">
        <f t="shared" si="23"/>
        <v>0.013425276133520472</v>
      </c>
      <c r="K57" s="553">
        <f t="shared" si="24"/>
        <v>220</v>
      </c>
      <c r="L57" s="569">
        <f t="shared" si="24"/>
        <v>10</v>
      </c>
      <c r="M57" s="481">
        <f t="shared" si="24"/>
        <v>1</v>
      </c>
      <c r="N57" s="601">
        <f>K57*L57*M57</f>
        <v>2200</v>
      </c>
      <c r="O57" s="482">
        <f t="shared" si="25"/>
        <v>0.055819145967066705</v>
      </c>
      <c r="P57" s="483"/>
      <c r="Q57" s="1068">
        <f>('3.Contribution Split'!$M$125*S57)+($U$129*S57)</f>
        <v>0</v>
      </c>
      <c r="R57" s="959">
        <f t="shared" si="26"/>
        <v>0</v>
      </c>
      <c r="S57" s="966">
        <f t="shared" si="27"/>
        <v>0.10724906157071125</v>
      </c>
      <c r="T57" s="527">
        <f t="shared" si="28"/>
        <v>414160.16134696786</v>
      </c>
      <c r="U57" s="506">
        <f t="shared" si="29"/>
        <v>1882.546187940763</v>
      </c>
      <c r="V57" s="513"/>
    </row>
    <row r="58" spans="1:22" ht="15" customHeight="1">
      <c r="A58" s="169" t="s">
        <v>250</v>
      </c>
      <c r="B58" s="553">
        <v>44</v>
      </c>
      <c r="C58" s="569">
        <v>10</v>
      </c>
      <c r="D58" s="586">
        <f t="shared" si="19"/>
        <v>1</v>
      </c>
      <c r="E58" s="601">
        <f t="shared" si="20"/>
        <v>440</v>
      </c>
      <c r="F58" s="965">
        <f t="shared" si="21"/>
        <v>0.0012645513213842814</v>
      </c>
      <c r="G58" s="483"/>
      <c r="H58" s="884">
        <f>('3.Contribution Split'!$D$125*J58)+($H$129*J58)</f>
        <v>82832.03226939357</v>
      </c>
      <c r="I58" s="951">
        <f t="shared" si="22"/>
        <v>1882.546187940763</v>
      </c>
      <c r="J58" s="883">
        <f t="shared" si="23"/>
        <v>0.0026850552267040947</v>
      </c>
      <c r="K58" s="553">
        <f t="shared" si="24"/>
        <v>44</v>
      </c>
      <c r="L58" s="569">
        <f t="shared" si="24"/>
        <v>10</v>
      </c>
      <c r="M58" s="481">
        <v>1</v>
      </c>
      <c r="N58" s="601">
        <f>K58*L58*M58</f>
        <v>440</v>
      </c>
      <c r="O58" s="965">
        <f t="shared" si="25"/>
        <v>0.011163829193413341</v>
      </c>
      <c r="P58" s="483"/>
      <c r="Q58" s="1001">
        <f>('3.Contribution Split'!$M$125*S58)+($U$129*S58)</f>
        <v>0</v>
      </c>
      <c r="R58" s="959">
        <f t="shared" si="26"/>
        <v>0</v>
      </c>
      <c r="S58" s="966">
        <f t="shared" si="27"/>
        <v>0.02144981231414225</v>
      </c>
      <c r="T58" s="527">
        <f t="shared" si="28"/>
        <v>82832.03226939357</v>
      </c>
      <c r="U58" s="506">
        <f t="shared" si="29"/>
        <v>1882.546187940763</v>
      </c>
      <c r="V58" s="513"/>
    </row>
    <row r="59" spans="1:22" s="146" customFormat="1" ht="15" customHeight="1">
      <c r="A59" s="169" t="s">
        <v>414</v>
      </c>
      <c r="B59" s="553">
        <v>150</v>
      </c>
      <c r="C59" s="569">
        <v>10</v>
      </c>
      <c r="D59" s="586">
        <f t="shared" si="19"/>
        <v>1</v>
      </c>
      <c r="E59" s="601">
        <f t="shared" si="20"/>
        <v>1500</v>
      </c>
      <c r="F59" s="482">
        <f t="shared" si="21"/>
        <v>0.00431097041381005</v>
      </c>
      <c r="G59" s="483"/>
      <c r="H59" s="884">
        <f>('3.Contribution Split'!$D$125*J59)+($H$129*J59)</f>
        <v>282381.9281911145</v>
      </c>
      <c r="I59" s="951">
        <f t="shared" si="22"/>
        <v>1882.5461879407633</v>
      </c>
      <c r="J59" s="883">
        <f t="shared" si="23"/>
        <v>0.00915359736376396</v>
      </c>
      <c r="K59" s="553">
        <f t="shared" si="24"/>
        <v>150</v>
      </c>
      <c r="L59" s="569">
        <f t="shared" si="24"/>
        <v>10</v>
      </c>
      <c r="M59" s="481">
        <v>1</v>
      </c>
      <c r="N59" s="601">
        <v>2700</v>
      </c>
      <c r="O59" s="482">
        <f t="shared" si="25"/>
        <v>0.06850531550503641</v>
      </c>
      <c r="P59" s="483"/>
      <c r="Q59" s="1068">
        <f>('3.Contribution Split'!$M$125*S59)+($U$129*S59)</f>
        <v>0</v>
      </c>
      <c r="R59" s="959">
        <f t="shared" si="26"/>
        <v>0</v>
      </c>
      <c r="S59" s="966">
        <f t="shared" si="27"/>
        <v>0.13162384829132745</v>
      </c>
      <c r="T59" s="527">
        <f t="shared" si="28"/>
        <v>282381.9281911145</v>
      </c>
      <c r="U59" s="506">
        <f t="shared" si="29"/>
        <v>1882.5461879407633</v>
      </c>
      <c r="V59" s="513"/>
    </row>
    <row r="60" spans="1:22" s="146" customFormat="1" ht="15" customHeight="1">
      <c r="A60" s="169" t="s">
        <v>415</v>
      </c>
      <c r="B60" s="553">
        <v>244</v>
      </c>
      <c r="C60" s="569">
        <v>10</v>
      </c>
      <c r="D60" s="586">
        <f t="shared" si="19"/>
        <v>1</v>
      </c>
      <c r="E60" s="601">
        <f t="shared" si="20"/>
        <v>2440</v>
      </c>
      <c r="F60" s="482">
        <f t="shared" si="21"/>
        <v>0.0070125118731310145</v>
      </c>
      <c r="G60" s="483"/>
      <c r="H60" s="884">
        <f>('3.Contribution Split'!$D$125*J60)+($H$129*J60)</f>
        <v>459341.2698575462</v>
      </c>
      <c r="I60" s="951">
        <f t="shared" si="22"/>
        <v>1882.546187940763</v>
      </c>
      <c r="J60" s="883">
        <f t="shared" si="23"/>
        <v>0.014889851711722706</v>
      </c>
      <c r="K60" s="553">
        <f t="shared" si="24"/>
        <v>244</v>
      </c>
      <c r="L60" s="569">
        <f t="shared" si="24"/>
        <v>10</v>
      </c>
      <c r="M60" s="481">
        <v>1</v>
      </c>
      <c r="N60" s="601">
        <v>6093</v>
      </c>
      <c r="O60" s="482">
        <f t="shared" si="25"/>
        <v>0.15459366198969884</v>
      </c>
      <c r="P60" s="483"/>
      <c r="Q60" s="1068">
        <f>('3.Contribution Split'!$M$125*S60)+($U$129*S60)</f>
        <v>0</v>
      </c>
      <c r="R60" s="959">
        <f t="shared" si="26"/>
        <v>0</v>
      </c>
      <c r="S60" s="966">
        <f t="shared" si="27"/>
        <v>0.29703115097742894</v>
      </c>
      <c r="T60" s="527">
        <f t="shared" si="28"/>
        <v>459341.2698575462</v>
      </c>
      <c r="U60" s="506">
        <f t="shared" si="29"/>
        <v>1882.546187940763</v>
      </c>
      <c r="V60" s="513"/>
    </row>
    <row r="61" spans="1:22" s="146" customFormat="1" ht="15" customHeight="1">
      <c r="A61" s="169" t="s">
        <v>416</v>
      </c>
      <c r="B61" s="553">
        <v>211</v>
      </c>
      <c r="C61" s="569">
        <v>10</v>
      </c>
      <c r="D61" s="586">
        <f t="shared" si="19"/>
        <v>1</v>
      </c>
      <c r="E61" s="601">
        <f t="shared" si="20"/>
        <v>2110</v>
      </c>
      <c r="F61" s="482">
        <f t="shared" si="21"/>
        <v>0.006064098382092804</v>
      </c>
      <c r="G61" s="483"/>
      <c r="H61" s="884">
        <f>('3.Contribution Split'!$D$125*J61)+($H$129*J61)</f>
        <v>397217.245655501</v>
      </c>
      <c r="I61" s="951">
        <f t="shared" si="22"/>
        <v>1882.5461879407633</v>
      </c>
      <c r="J61" s="883">
        <f t="shared" si="23"/>
        <v>0.012876060291694635</v>
      </c>
      <c r="K61" s="553">
        <f t="shared" si="24"/>
        <v>211</v>
      </c>
      <c r="L61" s="569">
        <f aca="true" t="shared" si="30" ref="L61:L68">C61</f>
        <v>10</v>
      </c>
      <c r="M61" s="481">
        <f aca="true" t="shared" si="31" ref="M61:M68">D61</f>
        <v>1</v>
      </c>
      <c r="N61" s="601">
        <f aca="true" t="shared" si="32" ref="N61:N68">K61*L61*M61</f>
        <v>2110</v>
      </c>
      <c r="O61" s="482">
        <f t="shared" si="25"/>
        <v>0.053535635450232155</v>
      </c>
      <c r="P61" s="483"/>
      <c r="Q61" s="1068">
        <f>('3.Contribution Split'!$M$125*S61)+($U$129*S61)</f>
        <v>0</v>
      </c>
      <c r="R61" s="959">
        <f aca="true" t="shared" si="33" ref="R61:R68">Q61/K61</f>
        <v>0</v>
      </c>
      <c r="S61" s="966">
        <f t="shared" si="27"/>
        <v>0.10286159996100033</v>
      </c>
      <c r="T61" s="527">
        <f t="shared" si="28"/>
        <v>397217.245655501</v>
      </c>
      <c r="U61" s="506">
        <f t="shared" si="29"/>
        <v>1882.5461879407633</v>
      </c>
      <c r="V61" s="513"/>
    </row>
    <row r="62" spans="1:22" ht="15" customHeight="1">
      <c r="A62" s="169" t="s">
        <v>45</v>
      </c>
      <c r="B62" s="553">
        <v>4</v>
      </c>
      <c r="C62" s="569">
        <v>10</v>
      </c>
      <c r="D62" s="586">
        <f t="shared" si="19"/>
        <v>1</v>
      </c>
      <c r="E62" s="601">
        <f aca="true" t="shared" si="34" ref="E62:E68">B62*C62*D62</f>
        <v>40</v>
      </c>
      <c r="F62" s="965">
        <f t="shared" si="21"/>
        <v>0.00011495921103493467</v>
      </c>
      <c r="G62" s="483"/>
      <c r="H62" s="884">
        <f>('3.Contribution Split'!$D$125*J62)+($H$129*J62)</f>
        <v>7530.184751763052</v>
      </c>
      <c r="I62" s="951">
        <f t="shared" si="22"/>
        <v>1882.546187940763</v>
      </c>
      <c r="J62" s="883">
        <f t="shared" si="23"/>
        <v>0.00024409592970037222</v>
      </c>
      <c r="K62" s="553">
        <f aca="true" t="shared" si="35" ref="K62:K68">B62</f>
        <v>4</v>
      </c>
      <c r="L62" s="569">
        <f t="shared" si="30"/>
        <v>10</v>
      </c>
      <c r="M62" s="481">
        <f t="shared" si="31"/>
        <v>1</v>
      </c>
      <c r="N62" s="601">
        <f t="shared" si="32"/>
        <v>40</v>
      </c>
      <c r="O62" s="965">
        <f t="shared" si="25"/>
        <v>0.0010148935630375764</v>
      </c>
      <c r="P62" s="483"/>
      <c r="Q62" s="1001">
        <f>('3.Contribution Split'!$M$125*S62)+($U$129*S62)</f>
        <v>0</v>
      </c>
      <c r="R62" s="959">
        <f t="shared" si="33"/>
        <v>0</v>
      </c>
      <c r="S62" s="966">
        <f t="shared" si="27"/>
        <v>0.0019499829376492955</v>
      </c>
      <c r="T62" s="527">
        <f t="shared" si="28"/>
        <v>7530.184751763052</v>
      </c>
      <c r="U62" s="506">
        <f t="shared" si="29"/>
        <v>1882.546187940763</v>
      </c>
      <c r="V62" s="513"/>
    </row>
    <row r="63" spans="1:22" ht="15" customHeight="1">
      <c r="A63" s="169" t="s">
        <v>46</v>
      </c>
      <c r="B63" s="553">
        <v>17</v>
      </c>
      <c r="C63" s="569">
        <v>10</v>
      </c>
      <c r="D63" s="586">
        <f t="shared" si="19"/>
        <v>1</v>
      </c>
      <c r="E63" s="601">
        <f t="shared" si="34"/>
        <v>170</v>
      </c>
      <c r="F63" s="965">
        <f t="shared" si="21"/>
        <v>0.0004885766468984723</v>
      </c>
      <c r="G63" s="483"/>
      <c r="H63" s="884">
        <f>('3.Contribution Split'!$D$125*J63)+($H$129*J63)</f>
        <v>32003.285194992975</v>
      </c>
      <c r="I63" s="951">
        <f t="shared" si="22"/>
        <v>1882.5461879407633</v>
      </c>
      <c r="J63" s="883">
        <f t="shared" si="23"/>
        <v>0.001037407701226582</v>
      </c>
      <c r="K63" s="553">
        <f t="shared" si="35"/>
        <v>17</v>
      </c>
      <c r="L63" s="569">
        <f t="shared" si="30"/>
        <v>10</v>
      </c>
      <c r="M63" s="481">
        <f t="shared" si="31"/>
        <v>1</v>
      </c>
      <c r="N63" s="601">
        <f t="shared" si="32"/>
        <v>170</v>
      </c>
      <c r="O63" s="965">
        <f t="shared" si="25"/>
        <v>0.0043132976429097</v>
      </c>
      <c r="P63" s="483"/>
      <c r="Q63" s="1001">
        <f>('3.Contribution Split'!$M$125*S63)+($U$129*S63)</f>
        <v>0</v>
      </c>
      <c r="R63" s="959">
        <f t="shared" si="33"/>
        <v>0</v>
      </c>
      <c r="S63" s="966">
        <f t="shared" si="27"/>
        <v>0.008287427485009507</v>
      </c>
      <c r="T63" s="527">
        <f t="shared" si="28"/>
        <v>32003.285194992975</v>
      </c>
      <c r="U63" s="506">
        <f t="shared" si="29"/>
        <v>1882.5461879407633</v>
      </c>
      <c r="V63" s="513"/>
    </row>
    <row r="64" spans="1:22" ht="15" customHeight="1">
      <c r="A64" s="169" t="s">
        <v>47</v>
      </c>
      <c r="B64" s="553">
        <v>22</v>
      </c>
      <c r="C64" s="569">
        <v>10</v>
      </c>
      <c r="D64" s="586">
        <f t="shared" si="19"/>
        <v>1</v>
      </c>
      <c r="E64" s="601">
        <f t="shared" si="34"/>
        <v>220</v>
      </c>
      <c r="F64" s="965">
        <f t="shared" si="21"/>
        <v>0.0006322756606921407</v>
      </c>
      <c r="G64" s="483"/>
      <c r="H64" s="884">
        <f>('3.Contribution Split'!$D$125*J64)+($H$129*J64)</f>
        <v>41416.01613469679</v>
      </c>
      <c r="I64" s="951">
        <f t="shared" si="22"/>
        <v>1882.546187940763</v>
      </c>
      <c r="J64" s="883">
        <f t="shared" si="23"/>
        <v>0.0013425276133520474</v>
      </c>
      <c r="K64" s="553">
        <f t="shared" si="35"/>
        <v>22</v>
      </c>
      <c r="L64" s="569">
        <f t="shared" si="30"/>
        <v>10</v>
      </c>
      <c r="M64" s="481">
        <f t="shared" si="31"/>
        <v>1</v>
      </c>
      <c r="N64" s="601">
        <f t="shared" si="32"/>
        <v>220</v>
      </c>
      <c r="O64" s="965">
        <f t="shared" si="25"/>
        <v>0.0055819145967066705</v>
      </c>
      <c r="P64" s="483"/>
      <c r="Q64" s="1001">
        <f>('3.Contribution Split'!$M$125*S64)+($U$129*S64)</f>
        <v>0</v>
      </c>
      <c r="R64" s="959">
        <f t="shared" si="33"/>
        <v>0</v>
      </c>
      <c r="S64" s="966">
        <f t="shared" si="27"/>
        <v>0.010724906157071125</v>
      </c>
      <c r="T64" s="527">
        <f t="shared" si="28"/>
        <v>41416.01613469679</v>
      </c>
      <c r="U64" s="506">
        <f t="shared" si="29"/>
        <v>1882.546187940763</v>
      </c>
      <c r="V64" s="513"/>
    </row>
    <row r="65" spans="1:22" ht="15" customHeight="1">
      <c r="A65" s="169" t="s">
        <v>48</v>
      </c>
      <c r="B65" s="553">
        <v>11</v>
      </c>
      <c r="C65" s="569">
        <v>10</v>
      </c>
      <c r="D65" s="586">
        <f t="shared" si="19"/>
        <v>1</v>
      </c>
      <c r="E65" s="601">
        <f t="shared" si="34"/>
        <v>110</v>
      </c>
      <c r="F65" s="965">
        <f t="shared" si="21"/>
        <v>0.00031613783034607036</v>
      </c>
      <c r="G65" s="483"/>
      <c r="H65" s="884">
        <f>('3.Contribution Split'!$D$125*J65)+($H$129*J65)</f>
        <v>20708.008067348394</v>
      </c>
      <c r="I65" s="951">
        <f t="shared" si="22"/>
        <v>1882.546187940763</v>
      </c>
      <c r="J65" s="883">
        <f t="shared" si="23"/>
        <v>0.0006712638066760237</v>
      </c>
      <c r="K65" s="553">
        <f t="shared" si="35"/>
        <v>11</v>
      </c>
      <c r="L65" s="569">
        <f t="shared" si="30"/>
        <v>10</v>
      </c>
      <c r="M65" s="481">
        <f t="shared" si="31"/>
        <v>1</v>
      </c>
      <c r="N65" s="601">
        <f t="shared" si="32"/>
        <v>110</v>
      </c>
      <c r="O65" s="965">
        <f t="shared" si="25"/>
        <v>0.0027909572983533353</v>
      </c>
      <c r="P65" s="483"/>
      <c r="Q65" s="1001">
        <f>('3.Contribution Split'!$M$125*S65)+($U$129*S65)</f>
        <v>0</v>
      </c>
      <c r="R65" s="959">
        <f t="shared" si="33"/>
        <v>0</v>
      </c>
      <c r="S65" s="966">
        <f t="shared" si="27"/>
        <v>0.005362453078535562</v>
      </c>
      <c r="T65" s="527">
        <f t="shared" si="28"/>
        <v>20708.008067348394</v>
      </c>
      <c r="U65" s="506">
        <f t="shared" si="29"/>
        <v>1882.546187940763</v>
      </c>
      <c r="V65" s="513"/>
    </row>
    <row r="66" spans="1:22" ht="15" customHeight="1">
      <c r="A66" s="169" t="s">
        <v>49</v>
      </c>
      <c r="B66" s="553">
        <v>20</v>
      </c>
      <c r="C66" s="569">
        <v>10</v>
      </c>
      <c r="D66" s="586">
        <f t="shared" si="19"/>
        <v>1</v>
      </c>
      <c r="E66" s="601">
        <f t="shared" si="34"/>
        <v>200</v>
      </c>
      <c r="F66" s="965">
        <f t="shared" si="21"/>
        <v>0.0005747960551746733</v>
      </c>
      <c r="G66" s="483"/>
      <c r="H66" s="884">
        <f>('3.Contribution Split'!$D$125*J66)+($H$129*J66)</f>
        <v>37650.92375881526</v>
      </c>
      <c r="I66" s="951">
        <f t="shared" si="22"/>
        <v>1882.546187940763</v>
      </c>
      <c r="J66" s="883">
        <f t="shared" si="23"/>
        <v>0.0012204796485018612</v>
      </c>
      <c r="K66" s="553">
        <f t="shared" si="35"/>
        <v>20</v>
      </c>
      <c r="L66" s="569">
        <f t="shared" si="30"/>
        <v>10</v>
      </c>
      <c r="M66" s="481">
        <f t="shared" si="31"/>
        <v>1</v>
      </c>
      <c r="N66" s="601">
        <f t="shared" si="32"/>
        <v>200</v>
      </c>
      <c r="O66" s="965">
        <f t="shared" si="25"/>
        <v>0.0050744678151878825</v>
      </c>
      <c r="P66" s="483"/>
      <c r="Q66" s="1001">
        <f>('3.Contribution Split'!$M$125*S66)+($U$129*S66)</f>
        <v>0</v>
      </c>
      <c r="R66" s="959">
        <f t="shared" si="33"/>
        <v>0</v>
      </c>
      <c r="S66" s="966">
        <f t="shared" si="27"/>
        <v>0.009749914688246477</v>
      </c>
      <c r="T66" s="527">
        <f t="shared" si="28"/>
        <v>37650.92375881526</v>
      </c>
      <c r="U66" s="506">
        <f t="shared" si="29"/>
        <v>1882.546187940763</v>
      </c>
      <c r="V66" s="513"/>
    </row>
    <row r="67" spans="1:22" ht="15" customHeight="1">
      <c r="A67" s="169" t="s">
        <v>50</v>
      </c>
      <c r="B67" s="553">
        <v>15</v>
      </c>
      <c r="C67" s="569">
        <v>10</v>
      </c>
      <c r="D67" s="586">
        <f t="shared" si="19"/>
        <v>1</v>
      </c>
      <c r="E67" s="601">
        <f t="shared" si="34"/>
        <v>150</v>
      </c>
      <c r="F67" s="965">
        <f t="shared" si="21"/>
        <v>0.000431097041381005</v>
      </c>
      <c r="G67" s="483"/>
      <c r="H67" s="884">
        <f>('3.Contribution Split'!$D$125*J67)+($H$129*J67)</f>
        <v>28238.192819111442</v>
      </c>
      <c r="I67" s="951">
        <f t="shared" si="22"/>
        <v>1882.5461879407628</v>
      </c>
      <c r="J67" s="883">
        <f t="shared" si="23"/>
        <v>0.0009153597363763958</v>
      </c>
      <c r="K67" s="553">
        <f t="shared" si="35"/>
        <v>15</v>
      </c>
      <c r="L67" s="569">
        <f t="shared" si="30"/>
        <v>10</v>
      </c>
      <c r="M67" s="481">
        <f t="shared" si="31"/>
        <v>1</v>
      </c>
      <c r="N67" s="601">
        <f t="shared" si="32"/>
        <v>150</v>
      </c>
      <c r="O67" s="965">
        <f t="shared" si="25"/>
        <v>0.0038058508613909117</v>
      </c>
      <c r="P67" s="483"/>
      <c r="Q67" s="1001">
        <f>('3.Contribution Split'!$M$125*S67)+($U$129*S67)</f>
        <v>0</v>
      </c>
      <c r="R67" s="959">
        <f t="shared" si="33"/>
        <v>0</v>
      </c>
      <c r="S67" s="966">
        <f t="shared" si="27"/>
        <v>0.007312436016184858</v>
      </c>
      <c r="T67" s="527">
        <f t="shared" si="28"/>
        <v>28238.192819111442</v>
      </c>
      <c r="U67" s="506">
        <f t="shared" si="29"/>
        <v>1882.5461879407628</v>
      </c>
      <c r="V67" s="513"/>
    </row>
    <row r="68" spans="1:22" s="146" customFormat="1" ht="15" customHeight="1">
      <c r="A68" s="169" t="s">
        <v>417</v>
      </c>
      <c r="B68" s="553">
        <v>25</v>
      </c>
      <c r="C68" s="569">
        <v>10</v>
      </c>
      <c r="D68" s="586">
        <f t="shared" si="19"/>
        <v>1</v>
      </c>
      <c r="E68" s="601">
        <f t="shared" si="34"/>
        <v>250</v>
      </c>
      <c r="F68" s="482">
        <f t="shared" si="21"/>
        <v>0.0007184950689683417</v>
      </c>
      <c r="G68" s="483"/>
      <c r="H68" s="884">
        <f>('3.Contribution Split'!$D$125*J68)+($H$129*J68)</f>
        <v>47063.65469851908</v>
      </c>
      <c r="I68" s="951">
        <f t="shared" si="22"/>
        <v>1882.5461879407633</v>
      </c>
      <c r="J68" s="883">
        <f t="shared" si="23"/>
        <v>0.0015255995606273263</v>
      </c>
      <c r="K68" s="553">
        <f t="shared" si="35"/>
        <v>25</v>
      </c>
      <c r="L68" s="569">
        <f t="shared" si="30"/>
        <v>10</v>
      </c>
      <c r="M68" s="481">
        <f t="shared" si="31"/>
        <v>1</v>
      </c>
      <c r="N68" s="601">
        <f t="shared" si="32"/>
        <v>250</v>
      </c>
      <c r="O68" s="482">
        <f t="shared" si="25"/>
        <v>0.006343084768984853</v>
      </c>
      <c r="P68" s="483"/>
      <c r="Q68" s="1068">
        <f>('3.Contribution Split'!$M$125*S68)+($U$129*S68)</f>
        <v>0</v>
      </c>
      <c r="R68" s="959">
        <f t="shared" si="33"/>
        <v>0</v>
      </c>
      <c r="S68" s="966">
        <f t="shared" si="27"/>
        <v>0.012187393360308097</v>
      </c>
      <c r="T68" s="527">
        <f t="shared" si="28"/>
        <v>47063.65469851908</v>
      </c>
      <c r="U68" s="506">
        <f t="shared" si="29"/>
        <v>1882.5461879407633</v>
      </c>
      <c r="V68" s="513"/>
    </row>
    <row r="69" spans="1:22" s="56" customFormat="1" ht="15" customHeight="1">
      <c r="A69" s="170" t="s">
        <v>10</v>
      </c>
      <c r="B69" s="559"/>
      <c r="C69" s="575"/>
      <c r="D69" s="586"/>
      <c r="E69" s="601"/>
      <c r="F69" s="482"/>
      <c r="G69" s="483"/>
      <c r="H69" s="484"/>
      <c r="I69" s="951"/>
      <c r="J69" s="872"/>
      <c r="K69" s="559"/>
      <c r="L69" s="575"/>
      <c r="M69" s="481"/>
      <c r="N69" s="601"/>
      <c r="O69" s="482"/>
      <c r="P69" s="483"/>
      <c r="Q69" s="484"/>
      <c r="R69" s="959"/>
      <c r="S69" s="506"/>
      <c r="T69" s="527"/>
      <c r="U69" s="506"/>
      <c r="V69" s="513"/>
    </row>
    <row r="70" spans="1:22" s="56" customFormat="1" ht="15" customHeight="1">
      <c r="A70" s="169" t="s">
        <v>69</v>
      </c>
      <c r="B70" s="553">
        <v>1000</v>
      </c>
      <c r="C70" s="569">
        <v>0.31</v>
      </c>
      <c r="D70" s="586">
        <f>$D$14</f>
        <v>1</v>
      </c>
      <c r="E70" s="601">
        <f aca="true" t="shared" si="36" ref="E70:E84">B70*C70*D70</f>
        <v>310</v>
      </c>
      <c r="F70" s="482">
        <f>E70/$F$123</f>
        <v>0.0008909338855207436</v>
      </c>
      <c r="G70" s="483"/>
      <c r="H70" s="830">
        <f>F70*'3.Contribution Split'!$D$126</f>
        <v>49373.15041406871</v>
      </c>
      <c r="I70" s="951">
        <f>H70/B70</f>
        <v>49.37315041406871</v>
      </c>
      <c r="J70" s="872"/>
      <c r="K70" s="553">
        <f aca="true" t="shared" si="37" ref="K70:M73">B70</f>
        <v>1000</v>
      </c>
      <c r="L70" s="569">
        <f t="shared" si="37"/>
        <v>0.31</v>
      </c>
      <c r="M70" s="481">
        <f t="shared" si="37"/>
        <v>1</v>
      </c>
      <c r="N70" s="601">
        <f>K70*L70*M70</f>
        <v>310</v>
      </c>
      <c r="O70" s="482">
        <f>N70/$N$87</f>
        <v>0.007865425113541217</v>
      </c>
      <c r="P70" s="483"/>
      <c r="Q70" s="830">
        <f>O70*'3.Contribution Split'!$M$126</f>
        <v>0</v>
      </c>
      <c r="R70" s="959">
        <f>Q70/K70</f>
        <v>0</v>
      </c>
      <c r="S70" s="506"/>
      <c r="T70" s="527">
        <f aca="true" t="shared" si="38" ref="T70:U74">Q70+H70</f>
        <v>49373.15041406871</v>
      </c>
      <c r="U70" s="506">
        <f t="shared" si="38"/>
        <v>49.37315041406871</v>
      </c>
      <c r="V70" s="513"/>
    </row>
    <row r="71" spans="1:22" s="56" customFormat="1" ht="15" customHeight="1">
      <c r="A71" s="169" t="s">
        <v>70</v>
      </c>
      <c r="B71" s="553">
        <v>8000</v>
      </c>
      <c r="C71" s="569">
        <v>0.31</v>
      </c>
      <c r="D71" s="586">
        <f>$D$14</f>
        <v>1</v>
      </c>
      <c r="E71" s="601">
        <f t="shared" si="36"/>
        <v>2480</v>
      </c>
      <c r="F71" s="482">
        <f>E71/$F$123</f>
        <v>0.007127471084165949</v>
      </c>
      <c r="G71" s="483"/>
      <c r="H71" s="830">
        <f>F71*'3.Contribution Split'!$D$126</f>
        <v>394985.2033125497</v>
      </c>
      <c r="I71" s="951">
        <f>H71/B71</f>
        <v>49.37315041406871</v>
      </c>
      <c r="J71" s="872"/>
      <c r="K71" s="553">
        <f t="shared" si="37"/>
        <v>8000</v>
      </c>
      <c r="L71" s="569">
        <f t="shared" si="37"/>
        <v>0.31</v>
      </c>
      <c r="M71" s="481">
        <f t="shared" si="37"/>
        <v>1</v>
      </c>
      <c r="N71" s="601">
        <f>K71*L71*M71</f>
        <v>2480</v>
      </c>
      <c r="O71" s="482">
        <f>N71/$N$87</f>
        <v>0.06292340090832974</v>
      </c>
      <c r="P71" s="483"/>
      <c r="Q71" s="830">
        <f>O71*'3.Contribution Split'!$M$119</f>
        <v>0</v>
      </c>
      <c r="R71" s="959">
        <f>Q71/K71</f>
        <v>0</v>
      </c>
      <c r="S71" s="506"/>
      <c r="T71" s="527">
        <f t="shared" si="38"/>
        <v>394985.2033125497</v>
      </c>
      <c r="U71" s="506">
        <f t="shared" si="38"/>
        <v>49.37315041406871</v>
      </c>
      <c r="V71" s="513"/>
    </row>
    <row r="72" spans="1:22" ht="15" customHeight="1">
      <c r="A72" s="169" t="s">
        <v>31</v>
      </c>
      <c r="B72" s="553">
        <v>3000</v>
      </c>
      <c r="C72" s="569">
        <v>0.31</v>
      </c>
      <c r="D72" s="586">
        <f>$D$14</f>
        <v>1</v>
      </c>
      <c r="E72" s="601">
        <f t="shared" si="36"/>
        <v>930</v>
      </c>
      <c r="F72" s="482">
        <f>E72/$F$123</f>
        <v>0.002672801656562231</v>
      </c>
      <c r="G72" s="483"/>
      <c r="H72" s="830">
        <f>F72*'3.Contribution Split'!$D$126</f>
        <v>148119.45124220612</v>
      </c>
      <c r="I72" s="951">
        <f>H72/B72</f>
        <v>49.37315041406871</v>
      </c>
      <c r="J72" s="872"/>
      <c r="K72" s="553">
        <f t="shared" si="37"/>
        <v>3000</v>
      </c>
      <c r="L72" s="569">
        <f t="shared" si="37"/>
        <v>0.31</v>
      </c>
      <c r="M72" s="481">
        <f t="shared" si="37"/>
        <v>1</v>
      </c>
      <c r="N72" s="601">
        <f>K72*L72*M72</f>
        <v>930</v>
      </c>
      <c r="O72" s="482">
        <f>N72/$N$87</f>
        <v>0.02359627534062365</v>
      </c>
      <c r="P72" s="483"/>
      <c r="Q72" s="830">
        <f>O72*'3.Contribution Split'!$M$119</f>
        <v>0</v>
      </c>
      <c r="R72" s="959">
        <f>Q72/K72</f>
        <v>0</v>
      </c>
      <c r="S72" s="506"/>
      <c r="T72" s="527">
        <f t="shared" si="38"/>
        <v>148119.45124220612</v>
      </c>
      <c r="U72" s="506">
        <f t="shared" si="38"/>
        <v>49.37315041406871</v>
      </c>
      <c r="V72" s="513"/>
    </row>
    <row r="73" spans="1:22" ht="15" customHeight="1">
      <c r="A73" s="169" t="s">
        <v>54</v>
      </c>
      <c r="B73" s="553">
        <v>12000</v>
      </c>
      <c r="C73" s="569">
        <v>0.31</v>
      </c>
      <c r="D73" s="586">
        <f>$D$14</f>
        <v>1</v>
      </c>
      <c r="E73" s="601">
        <f t="shared" si="36"/>
        <v>3720</v>
      </c>
      <c r="F73" s="482">
        <f>E73/$F$123</f>
        <v>0.010691206626248924</v>
      </c>
      <c r="G73" s="483"/>
      <c r="H73" s="830">
        <f>F73*'3.Contribution Split'!$D$126</f>
        <v>592477.8049688245</v>
      </c>
      <c r="I73" s="951">
        <f>H73/B73</f>
        <v>49.37315041406871</v>
      </c>
      <c r="J73" s="872"/>
      <c r="K73" s="553">
        <f t="shared" si="37"/>
        <v>12000</v>
      </c>
      <c r="L73" s="569">
        <f t="shared" si="37"/>
        <v>0.31</v>
      </c>
      <c r="M73" s="481">
        <f t="shared" si="37"/>
        <v>1</v>
      </c>
      <c r="N73" s="601">
        <f>K73*L73*M73</f>
        <v>3720</v>
      </c>
      <c r="O73" s="482">
        <f>N73/$N$87</f>
        <v>0.0943851013624946</v>
      </c>
      <c r="P73" s="483"/>
      <c r="Q73" s="830">
        <f>O73*'3.Contribution Split'!$M$119</f>
        <v>0</v>
      </c>
      <c r="R73" s="959">
        <f>Q73/K73</f>
        <v>0</v>
      </c>
      <c r="S73" s="506"/>
      <c r="T73" s="527">
        <f t="shared" si="38"/>
        <v>592477.8049688245</v>
      </c>
      <c r="U73" s="506">
        <f t="shared" si="38"/>
        <v>49.37315041406871</v>
      </c>
      <c r="V73" s="513"/>
    </row>
    <row r="74" spans="1:22" ht="15" customHeight="1">
      <c r="A74" s="169" t="s">
        <v>57</v>
      </c>
      <c r="B74" s="553">
        <v>9000</v>
      </c>
      <c r="C74" s="569">
        <v>0.31</v>
      </c>
      <c r="D74" s="586">
        <f>$D$14</f>
        <v>1</v>
      </c>
      <c r="E74" s="601">
        <f>B74*C74*D74</f>
        <v>2790</v>
      </c>
      <c r="F74" s="482">
        <f>E74/$F$123</f>
        <v>0.008018404969686694</v>
      </c>
      <c r="G74" s="483"/>
      <c r="H74" s="830">
        <f>F74*'3.Contribution Split'!$D$126</f>
        <v>444358.3537266184</v>
      </c>
      <c r="I74" s="951">
        <f>H74/B74</f>
        <v>49.37315041406871</v>
      </c>
      <c r="J74" s="872"/>
      <c r="K74" s="553">
        <f>B74</f>
        <v>9000</v>
      </c>
      <c r="L74" s="569">
        <f>C74</f>
        <v>0.31</v>
      </c>
      <c r="M74" s="481">
        <f>D74</f>
        <v>1</v>
      </c>
      <c r="N74" s="601">
        <f>K74*L74*M74</f>
        <v>2790</v>
      </c>
      <c r="O74" s="482">
        <f>N74/$N$87</f>
        <v>0.07078882602187096</v>
      </c>
      <c r="P74" s="483"/>
      <c r="Q74" s="830">
        <f>O74*'3.Contribution Split'!$M$119</f>
        <v>0</v>
      </c>
      <c r="R74" s="959">
        <f>Q74/K74</f>
        <v>0</v>
      </c>
      <c r="S74" s="506"/>
      <c r="T74" s="527">
        <f t="shared" si="38"/>
        <v>444358.3537266184</v>
      </c>
      <c r="U74" s="506">
        <f t="shared" si="38"/>
        <v>49.37315041406871</v>
      </c>
      <c r="V74" s="513"/>
    </row>
    <row r="75" spans="1:22" s="56" customFormat="1" ht="15" customHeight="1">
      <c r="A75" s="170" t="s">
        <v>11</v>
      </c>
      <c r="B75" s="559"/>
      <c r="C75" s="575"/>
      <c r="D75" s="586"/>
      <c r="E75" s="601"/>
      <c r="F75" s="482"/>
      <c r="G75" s="483"/>
      <c r="H75" s="830"/>
      <c r="I75" s="951"/>
      <c r="J75" s="872"/>
      <c r="K75" s="559"/>
      <c r="L75" s="575"/>
      <c r="M75" s="481"/>
      <c r="N75" s="601"/>
      <c r="O75" s="482"/>
      <c r="P75" s="483"/>
      <c r="Q75" s="830"/>
      <c r="R75" s="959"/>
      <c r="S75" s="506"/>
      <c r="T75" s="527"/>
      <c r="U75" s="506"/>
      <c r="V75" s="513"/>
    </row>
    <row r="76" spans="1:22" s="56" customFormat="1" ht="15" customHeight="1">
      <c r="A76" s="169" t="s">
        <v>78</v>
      </c>
      <c r="B76" s="553">
        <v>1000</v>
      </c>
      <c r="C76" s="569">
        <v>0.23</v>
      </c>
      <c r="D76" s="586">
        <f>$D$14</f>
        <v>1</v>
      </c>
      <c r="E76" s="601">
        <f t="shared" si="36"/>
        <v>230</v>
      </c>
      <c r="F76" s="482">
        <f>E76/$F$123</f>
        <v>0.0006610154634508743</v>
      </c>
      <c r="G76" s="483"/>
      <c r="H76" s="830">
        <f>F76*'3.Contribution Split'!$D$126</f>
        <v>36631.69224269614</v>
      </c>
      <c r="I76" s="951">
        <f>H76/B76</f>
        <v>36.63169224269614</v>
      </c>
      <c r="J76" s="872"/>
      <c r="K76" s="553">
        <f aca="true" t="shared" si="39" ref="K76:M79">B76</f>
        <v>1000</v>
      </c>
      <c r="L76" s="569">
        <f t="shared" si="39"/>
        <v>0.23</v>
      </c>
      <c r="M76" s="481">
        <f t="shared" si="39"/>
        <v>1</v>
      </c>
      <c r="N76" s="601">
        <f>K76*L76*M76</f>
        <v>230</v>
      </c>
      <c r="O76" s="482">
        <f>N76/$N$87</f>
        <v>0.005835637987466064</v>
      </c>
      <c r="P76" s="483"/>
      <c r="Q76" s="830">
        <f>O76*'3.Contribution Split'!$M$119</f>
        <v>0</v>
      </c>
      <c r="R76" s="959">
        <f>Q76/K76</f>
        <v>0</v>
      </c>
      <c r="S76" s="506"/>
      <c r="T76" s="527">
        <f aca="true" t="shared" si="40" ref="T76:U80">Q76+H76</f>
        <v>36631.69224269614</v>
      </c>
      <c r="U76" s="506">
        <f t="shared" si="40"/>
        <v>36.63169224269614</v>
      </c>
      <c r="V76" s="513"/>
    </row>
    <row r="77" spans="1:22" s="56" customFormat="1" ht="15" customHeight="1">
      <c r="A77" s="169" t="s">
        <v>79</v>
      </c>
      <c r="B77" s="553">
        <v>2000</v>
      </c>
      <c r="C77" s="569">
        <v>0.23</v>
      </c>
      <c r="D77" s="586">
        <f>$D$14</f>
        <v>1</v>
      </c>
      <c r="E77" s="601">
        <f t="shared" si="36"/>
        <v>460</v>
      </c>
      <c r="F77" s="482">
        <f>E77/$F$123</f>
        <v>0.0013220309269017486</v>
      </c>
      <c r="G77" s="483"/>
      <c r="H77" s="830">
        <f>F77*'3.Contribution Split'!$D$126</f>
        <v>73263.38448539228</v>
      </c>
      <c r="I77" s="951">
        <f>H77/B77</f>
        <v>36.63169224269614</v>
      </c>
      <c r="J77" s="872"/>
      <c r="K77" s="553">
        <f t="shared" si="39"/>
        <v>2000</v>
      </c>
      <c r="L77" s="569">
        <f t="shared" si="39"/>
        <v>0.23</v>
      </c>
      <c r="M77" s="481">
        <f t="shared" si="39"/>
        <v>1</v>
      </c>
      <c r="N77" s="601">
        <f>K77*L77*M77</f>
        <v>460</v>
      </c>
      <c r="O77" s="482">
        <f>N77/$N$87</f>
        <v>0.011671275974932128</v>
      </c>
      <c r="P77" s="483"/>
      <c r="Q77" s="830">
        <f>O77*'3.Contribution Split'!$M$119</f>
        <v>0</v>
      </c>
      <c r="R77" s="959">
        <f>Q77/K77</f>
        <v>0</v>
      </c>
      <c r="S77" s="506"/>
      <c r="T77" s="527">
        <f t="shared" si="40"/>
        <v>73263.38448539228</v>
      </c>
      <c r="U77" s="506">
        <f t="shared" si="40"/>
        <v>36.63169224269614</v>
      </c>
      <c r="V77" s="513"/>
    </row>
    <row r="78" spans="1:22" ht="15" customHeight="1">
      <c r="A78" s="169" t="s">
        <v>451</v>
      </c>
      <c r="B78" s="553">
        <v>15000</v>
      </c>
      <c r="C78" s="569">
        <v>0.11</v>
      </c>
      <c r="D78" s="586">
        <f>$D$14</f>
        <v>1</v>
      </c>
      <c r="E78" s="601">
        <f t="shared" si="36"/>
        <v>1650</v>
      </c>
      <c r="F78" s="482">
        <f>E78/$F$123</f>
        <v>0.004742067455191055</v>
      </c>
      <c r="G78" s="483"/>
      <c r="H78" s="830">
        <f>F78*'3.Contribution Split'!$D$126</f>
        <v>262792.57478455926</v>
      </c>
      <c r="I78" s="951">
        <f>H78/B78</f>
        <v>17.519504985637283</v>
      </c>
      <c r="J78" s="872"/>
      <c r="K78" s="553">
        <f t="shared" si="39"/>
        <v>15000</v>
      </c>
      <c r="L78" s="569">
        <f t="shared" si="39"/>
        <v>0.11</v>
      </c>
      <c r="M78" s="481">
        <f t="shared" si="39"/>
        <v>1</v>
      </c>
      <c r="N78" s="601">
        <f>K78*L78*M78</f>
        <v>1650</v>
      </c>
      <c r="O78" s="482">
        <f>N78/$N$87</f>
        <v>0.041864359475300025</v>
      </c>
      <c r="P78" s="483"/>
      <c r="Q78" s="830">
        <f>O78*'3.Contribution Split'!$M$119</f>
        <v>0</v>
      </c>
      <c r="R78" s="959">
        <f>Q78/K78</f>
        <v>0</v>
      </c>
      <c r="S78" s="506"/>
      <c r="T78" s="527">
        <f t="shared" si="40"/>
        <v>262792.57478455926</v>
      </c>
      <c r="U78" s="506">
        <f t="shared" si="40"/>
        <v>17.519504985637283</v>
      </c>
      <c r="V78" s="513"/>
    </row>
    <row r="79" spans="1:22" ht="15" customHeight="1">
      <c r="A79" s="169" t="s">
        <v>271</v>
      </c>
      <c r="B79" s="553">
        <v>1000</v>
      </c>
      <c r="C79" s="569">
        <v>0.23</v>
      </c>
      <c r="D79" s="586">
        <f>$D$14</f>
        <v>1</v>
      </c>
      <c r="E79" s="601">
        <f t="shared" si="36"/>
        <v>230</v>
      </c>
      <c r="F79" s="482">
        <f>E79/$F$123</f>
        <v>0.0006610154634508743</v>
      </c>
      <c r="G79" s="483"/>
      <c r="H79" s="830">
        <f>F79*'3.Contribution Split'!$D$126</f>
        <v>36631.69224269614</v>
      </c>
      <c r="I79" s="951">
        <f>H79/B79</f>
        <v>36.63169224269614</v>
      </c>
      <c r="J79" s="872"/>
      <c r="K79" s="553">
        <f t="shared" si="39"/>
        <v>1000</v>
      </c>
      <c r="L79" s="569">
        <f t="shared" si="39"/>
        <v>0.23</v>
      </c>
      <c r="M79" s="481">
        <f t="shared" si="39"/>
        <v>1</v>
      </c>
      <c r="N79" s="601">
        <f>K79*L79*M79</f>
        <v>230</v>
      </c>
      <c r="O79" s="482">
        <f>N79/$N$87</f>
        <v>0.005835637987466064</v>
      </c>
      <c r="P79" s="483"/>
      <c r="Q79" s="830">
        <f>O79*'3.Contribution Split'!$M$119</f>
        <v>0</v>
      </c>
      <c r="R79" s="959">
        <f>Q79/K79</f>
        <v>0</v>
      </c>
      <c r="S79" s="506"/>
      <c r="T79" s="527">
        <f t="shared" si="40"/>
        <v>36631.69224269614</v>
      </c>
      <c r="U79" s="506">
        <f t="shared" si="40"/>
        <v>36.63169224269614</v>
      </c>
      <c r="V79" s="513"/>
    </row>
    <row r="80" spans="1:22" ht="15" customHeight="1">
      <c r="A80" s="169" t="s">
        <v>57</v>
      </c>
      <c r="B80" s="553">
        <v>9000</v>
      </c>
      <c r="C80" s="569">
        <v>0.23</v>
      </c>
      <c r="D80" s="586">
        <f>$D$14</f>
        <v>1</v>
      </c>
      <c r="E80" s="601">
        <f>B80*C80*D80</f>
        <v>2070</v>
      </c>
      <c r="F80" s="482">
        <f>E80/$F$123</f>
        <v>0.005949139171057869</v>
      </c>
      <c r="G80" s="483"/>
      <c r="H80" s="830">
        <f>F80*'3.Contribution Split'!$D$126</f>
        <v>329685.23018426524</v>
      </c>
      <c r="I80" s="951">
        <f>H80/B80</f>
        <v>36.63169224269614</v>
      </c>
      <c r="J80" s="872"/>
      <c r="K80" s="553">
        <f>B80</f>
        <v>9000</v>
      </c>
      <c r="L80" s="569">
        <f>C80</f>
        <v>0.23</v>
      </c>
      <c r="M80" s="481">
        <f>D80</f>
        <v>1</v>
      </c>
      <c r="N80" s="601">
        <f>K80*L80*M80</f>
        <v>2070</v>
      </c>
      <c r="O80" s="482">
        <f>N80/$N$87</f>
        <v>0.05252074188719458</v>
      </c>
      <c r="P80" s="483"/>
      <c r="Q80" s="830">
        <f>O80*'3.Contribution Split'!$M$119</f>
        <v>0</v>
      </c>
      <c r="R80" s="959">
        <f>Q80/K80</f>
        <v>0</v>
      </c>
      <c r="S80" s="506"/>
      <c r="T80" s="527">
        <f t="shared" si="40"/>
        <v>329685.23018426524</v>
      </c>
      <c r="U80" s="506">
        <f t="shared" si="40"/>
        <v>36.63169224269614</v>
      </c>
      <c r="V80" s="513"/>
    </row>
    <row r="81" spans="1:22" s="56" customFormat="1" ht="15" customHeight="1">
      <c r="A81" s="170" t="s">
        <v>5</v>
      </c>
      <c r="B81" s="553"/>
      <c r="C81" s="569"/>
      <c r="D81" s="586"/>
      <c r="E81" s="601"/>
      <c r="F81" s="482"/>
      <c r="G81" s="483"/>
      <c r="H81" s="830"/>
      <c r="I81" s="951"/>
      <c r="J81" s="872"/>
      <c r="K81" s="553"/>
      <c r="L81" s="569"/>
      <c r="M81" s="481"/>
      <c r="N81" s="601"/>
      <c r="O81" s="482"/>
      <c r="P81" s="483"/>
      <c r="Q81" s="830"/>
      <c r="R81" s="959"/>
      <c r="S81" s="506"/>
      <c r="T81" s="527"/>
      <c r="U81" s="506"/>
      <c r="V81" s="513"/>
    </row>
    <row r="82" spans="1:22" ht="15" customHeight="1">
      <c r="A82" s="169" t="s">
        <v>38</v>
      </c>
      <c r="B82" s="553">
        <v>1000</v>
      </c>
      <c r="C82" s="569">
        <v>2.11</v>
      </c>
      <c r="D82" s="586">
        <f>$D$14</f>
        <v>1</v>
      </c>
      <c r="E82" s="601">
        <f>B82*C82*D82</f>
        <v>2110</v>
      </c>
      <c r="F82" s="482">
        <f>E82/$F$123</f>
        <v>0.006064098382092804</v>
      </c>
      <c r="G82" s="483"/>
      <c r="H82" s="830">
        <f>F82*'3.Contribution Split'!$D$126</f>
        <v>336055.95926995156</v>
      </c>
      <c r="I82" s="951">
        <f>H82/B82</f>
        <v>336.0559592699516</v>
      </c>
      <c r="J82" s="872"/>
      <c r="K82" s="553">
        <f>B82</f>
        <v>1000</v>
      </c>
      <c r="L82" s="569">
        <f>C82</f>
        <v>2.11</v>
      </c>
      <c r="M82" s="481">
        <f>D82</f>
        <v>1</v>
      </c>
      <c r="N82" s="601">
        <f>K82*L82*M82</f>
        <v>2110</v>
      </c>
      <c r="O82" s="482">
        <f>N82/$N$87</f>
        <v>0.053535635450232155</v>
      </c>
      <c r="P82" s="483"/>
      <c r="Q82" s="830">
        <f>O82*'3.Contribution Split'!$M$119</f>
        <v>0</v>
      </c>
      <c r="R82" s="959">
        <f>Q82/K82</f>
        <v>0</v>
      </c>
      <c r="S82" s="506"/>
      <c r="T82" s="527">
        <f>Q82+H82</f>
        <v>336055.95926995156</v>
      </c>
      <c r="U82" s="506">
        <f>R82+I82</f>
        <v>336.0559592699516</v>
      </c>
      <c r="V82" s="513"/>
    </row>
    <row r="83" spans="1:22" s="56" customFormat="1" ht="15" customHeight="1">
      <c r="A83" s="170" t="s">
        <v>9</v>
      </c>
      <c r="B83" s="559"/>
      <c r="C83" s="575"/>
      <c r="D83" s="586"/>
      <c r="E83" s="601"/>
      <c r="F83" s="482"/>
      <c r="G83" s="483"/>
      <c r="H83" s="830"/>
      <c r="I83" s="951"/>
      <c r="J83" s="872"/>
      <c r="K83" s="559"/>
      <c r="L83" s="575"/>
      <c r="M83" s="481"/>
      <c r="N83" s="601"/>
      <c r="O83" s="482"/>
      <c r="P83" s="483"/>
      <c r="Q83" s="830"/>
      <c r="R83" s="959"/>
      <c r="S83" s="506"/>
      <c r="T83" s="527"/>
      <c r="U83" s="506"/>
      <c r="V83" s="513"/>
    </row>
    <row r="84" spans="1:22" s="56" customFormat="1" ht="15" customHeight="1">
      <c r="A84" s="169" t="s">
        <v>69</v>
      </c>
      <c r="B84" s="553">
        <v>1000</v>
      </c>
      <c r="C84" s="569">
        <v>0.16</v>
      </c>
      <c r="D84" s="586">
        <f>$D$14</f>
        <v>1</v>
      </c>
      <c r="E84" s="601">
        <f t="shared" si="36"/>
        <v>160</v>
      </c>
      <c r="F84" s="482">
        <f>E84/$F$123</f>
        <v>0.00045983684413973867</v>
      </c>
      <c r="G84" s="483"/>
      <c r="H84" s="830">
        <f>F84*'3.Contribution Split'!$D$126</f>
        <v>25482.91634274514</v>
      </c>
      <c r="I84" s="951">
        <f>H84/B84</f>
        <v>25.48291634274514</v>
      </c>
      <c r="J84" s="872"/>
      <c r="K84" s="553">
        <f aca="true" t="shared" si="41" ref="K84:M85">B84</f>
        <v>1000</v>
      </c>
      <c r="L84" s="569">
        <f t="shared" si="41"/>
        <v>0.16</v>
      </c>
      <c r="M84" s="481">
        <f t="shared" si="41"/>
        <v>1</v>
      </c>
      <c r="N84" s="601">
        <f>K84*L84*M84</f>
        <v>160</v>
      </c>
      <c r="O84" s="482">
        <f>N84/$N$87</f>
        <v>0.004059574252150306</v>
      </c>
      <c r="P84" s="483"/>
      <c r="Q84" s="830">
        <f>O84*'3.Contribution Split'!$M$119</f>
        <v>0</v>
      </c>
      <c r="R84" s="959">
        <f>Q84/K84</f>
        <v>0</v>
      </c>
      <c r="S84" s="506"/>
      <c r="T84" s="527">
        <f aca="true" t="shared" si="42" ref="T84:U86">Q84+H84</f>
        <v>25482.91634274514</v>
      </c>
      <c r="U84" s="506">
        <f t="shared" si="42"/>
        <v>25.48291634274514</v>
      </c>
      <c r="V84" s="513"/>
    </row>
    <row r="85" spans="1:22" ht="15" customHeight="1">
      <c r="A85" s="203" t="s">
        <v>39</v>
      </c>
      <c r="B85" s="555">
        <v>1000</v>
      </c>
      <c r="C85" s="571">
        <v>0.16</v>
      </c>
      <c r="D85" s="586">
        <f>$D$14</f>
        <v>1</v>
      </c>
      <c r="E85" s="602">
        <f>B85*C85*D85</f>
        <v>160</v>
      </c>
      <c r="F85" s="482">
        <f>E85/$F$123</f>
        <v>0.00045983684413973867</v>
      </c>
      <c r="G85" s="483"/>
      <c r="H85" s="830">
        <f>F85*'3.Contribution Split'!$D$126</f>
        <v>25482.91634274514</v>
      </c>
      <c r="I85" s="952">
        <f>H85/B85</f>
        <v>25.48291634274514</v>
      </c>
      <c r="J85" s="873"/>
      <c r="K85" s="553">
        <f t="shared" si="41"/>
        <v>1000</v>
      </c>
      <c r="L85" s="569">
        <f t="shared" si="41"/>
        <v>0.16</v>
      </c>
      <c r="M85" s="481">
        <f t="shared" si="41"/>
        <v>1</v>
      </c>
      <c r="N85" s="602">
        <f>K85*L85*M85</f>
        <v>160</v>
      </c>
      <c r="O85" s="482">
        <f>N85/$N$87</f>
        <v>0.004059574252150306</v>
      </c>
      <c r="P85" s="483"/>
      <c r="Q85" s="830">
        <f>O85*'3.Contribution Split'!$M$119</f>
        <v>0</v>
      </c>
      <c r="R85" s="962">
        <f>Q85/K85</f>
        <v>0</v>
      </c>
      <c r="S85" s="507"/>
      <c r="T85" s="528">
        <f t="shared" si="42"/>
        <v>25482.91634274514</v>
      </c>
      <c r="U85" s="507">
        <f t="shared" si="42"/>
        <v>25.48291634274514</v>
      </c>
      <c r="V85" s="623"/>
    </row>
    <row r="86" spans="1:22" ht="15" customHeight="1" thickBot="1">
      <c r="A86" s="169" t="s">
        <v>61</v>
      </c>
      <c r="B86" s="553">
        <v>10000</v>
      </c>
      <c r="C86" s="569">
        <v>0.16</v>
      </c>
      <c r="D86" s="586">
        <f>$D$14</f>
        <v>1</v>
      </c>
      <c r="E86" s="601">
        <f>B86*C86*D86</f>
        <v>1600</v>
      </c>
      <c r="F86" s="482">
        <f>E86/$F$123</f>
        <v>0.004598368441397387</v>
      </c>
      <c r="G86" s="483"/>
      <c r="H86" s="830">
        <f>F86*'3.Contribution Split'!$D$126</f>
        <v>254829.1634274514</v>
      </c>
      <c r="I86" s="951">
        <f>H86/B86</f>
        <v>25.48291634274514</v>
      </c>
      <c r="J86" s="872"/>
      <c r="K86" s="553">
        <f>B86</f>
        <v>10000</v>
      </c>
      <c r="L86" s="569">
        <f>C86</f>
        <v>0.16</v>
      </c>
      <c r="M86" s="481">
        <f>D86</f>
        <v>1</v>
      </c>
      <c r="N86" s="601">
        <f>K86*L86*M86</f>
        <v>1600</v>
      </c>
      <c r="O86" s="482">
        <f>N86/$N$87</f>
        <v>0.04059574252150306</v>
      </c>
      <c r="P86" s="483"/>
      <c r="Q86" s="830">
        <f>O86*'3.Contribution Split'!$M$119</f>
        <v>0</v>
      </c>
      <c r="R86" s="959">
        <f>Q86/K86</f>
        <v>0</v>
      </c>
      <c r="S86" s="506"/>
      <c r="T86" s="527">
        <f t="shared" si="42"/>
        <v>254829.1634274514</v>
      </c>
      <c r="U86" s="506">
        <f t="shared" si="42"/>
        <v>25.48291634274514</v>
      </c>
      <c r="V86" s="513"/>
    </row>
    <row r="87" spans="1:29" s="56" customFormat="1" ht="15" customHeight="1" thickBot="1">
      <c r="A87" s="627" t="s">
        <v>299</v>
      </c>
      <c r="B87" s="560"/>
      <c r="C87" s="576"/>
      <c r="D87" s="591"/>
      <c r="E87" s="604">
        <f>SUM($E$53:$E$86)</f>
        <v>34560</v>
      </c>
      <c r="F87" s="497">
        <f>SUM($F$53:$F$86)</f>
        <v>0.09932475833418357</v>
      </c>
      <c r="G87" s="498"/>
      <c r="H87" s="491">
        <f>SUM($H$53:$H$86)</f>
        <v>5958236.8233020045</v>
      </c>
      <c r="I87" s="955"/>
      <c r="J87" s="874"/>
      <c r="K87" s="560"/>
      <c r="L87" s="576"/>
      <c r="M87" s="496"/>
      <c r="N87" s="604">
        <f>SUM($N$53:$N$86)</f>
        <v>39413</v>
      </c>
      <c r="O87" s="509">
        <f>SUM($O$54:$O$86)</f>
        <v>1.0000000000000002</v>
      </c>
      <c r="P87" s="498"/>
      <c r="Q87" s="491">
        <f>SUM($Q$54:$Q$86)</f>
        <v>0</v>
      </c>
      <c r="R87" s="963"/>
      <c r="S87" s="969">
        <f>SUM(S54:S86)</f>
        <v>0.9999999999999998</v>
      </c>
      <c r="T87" s="532">
        <f>SUM($T$54:$T$86)</f>
        <v>5958236.8233020045</v>
      </c>
      <c r="U87" s="533"/>
      <c r="V87" s="625"/>
      <c r="W87"/>
      <c r="X87"/>
      <c r="Y87"/>
      <c r="Z87"/>
      <c r="AA87"/>
      <c r="AB87"/>
      <c r="AC87"/>
    </row>
    <row r="88" spans="1:47" s="225" customFormat="1" ht="15" customHeight="1" thickBot="1">
      <c r="A88" s="616"/>
      <c r="B88" s="617"/>
      <c r="C88" s="618"/>
      <c r="D88" s="619"/>
      <c r="E88" s="617"/>
      <c r="F88" s="620"/>
      <c r="G88" s="620"/>
      <c r="H88" s="620"/>
      <c r="I88" s="620"/>
      <c r="J88" s="620"/>
      <c r="K88" s="617"/>
      <c r="L88" s="618"/>
      <c r="M88" s="620"/>
      <c r="N88" s="617"/>
      <c r="O88" s="620"/>
      <c r="P88" s="620"/>
      <c r="Q88" s="620"/>
      <c r="R88" s="620"/>
      <c r="S88" s="620"/>
      <c r="T88" s="620"/>
      <c r="U88" s="620"/>
      <c r="V88" s="621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29" s="371" customFormat="1" ht="15" customHeight="1" thickBot="1">
      <c r="A89" s="368" t="s">
        <v>2</v>
      </c>
      <c r="B89" s="552"/>
      <c r="C89" s="567"/>
      <c r="D89" s="584"/>
      <c r="E89" s="599"/>
      <c r="F89" s="369"/>
      <c r="G89" s="369"/>
      <c r="H89" s="369"/>
      <c r="I89" s="369"/>
      <c r="J89" s="369"/>
      <c r="K89" s="552"/>
      <c r="L89" s="567"/>
      <c r="M89" s="369"/>
      <c r="N89" s="599"/>
      <c r="O89" s="369"/>
      <c r="P89" s="369"/>
      <c r="Q89" s="369"/>
      <c r="R89" s="369"/>
      <c r="S89" s="370"/>
      <c r="T89" s="368"/>
      <c r="U89" s="370"/>
      <c r="V89" s="370"/>
      <c r="W89"/>
      <c r="X89"/>
      <c r="Y89"/>
      <c r="Z89"/>
      <c r="AA89"/>
      <c r="AB89"/>
      <c r="AC89"/>
    </row>
    <row r="90" spans="1:29" s="56" customFormat="1" ht="15" customHeight="1">
      <c r="A90" s="471" t="s">
        <v>6</v>
      </c>
      <c r="B90" s="561"/>
      <c r="C90" s="577"/>
      <c r="D90" s="592"/>
      <c r="E90" s="600"/>
      <c r="F90" s="479"/>
      <c r="G90" s="479"/>
      <c r="H90" s="480"/>
      <c r="I90" s="950"/>
      <c r="J90" s="875"/>
      <c r="K90" s="561"/>
      <c r="L90" s="577"/>
      <c r="M90" s="499"/>
      <c r="N90" s="600"/>
      <c r="O90" s="479"/>
      <c r="P90" s="479"/>
      <c r="Q90" s="480"/>
      <c r="R90" s="964"/>
      <c r="S90" s="512"/>
      <c r="T90" s="534"/>
      <c r="U90" s="505"/>
      <c r="V90" s="516"/>
      <c r="W90"/>
      <c r="X90"/>
      <c r="Y90"/>
      <c r="Z90"/>
      <c r="AA90"/>
      <c r="AB90"/>
      <c r="AC90"/>
    </row>
    <row r="91" spans="1:29" s="56" customFormat="1" ht="15" customHeight="1">
      <c r="A91" s="169" t="s">
        <v>455</v>
      </c>
      <c r="B91" s="553">
        <v>24000</v>
      </c>
      <c r="C91" s="569">
        <v>0.11</v>
      </c>
      <c r="D91" s="586">
        <f>$D$14</f>
        <v>1</v>
      </c>
      <c r="E91" s="601">
        <f>B91*C91*D91</f>
        <v>2640</v>
      </c>
      <c r="F91" s="482">
        <f>E91/$F$123</f>
        <v>0.007587307928305688</v>
      </c>
      <c r="G91" s="483"/>
      <c r="H91" s="830">
        <f>F91*'3.Contribution Split'!$D$126</f>
        <v>420468.1196552948</v>
      </c>
      <c r="I91" s="951">
        <f>H91/B91</f>
        <v>17.519504985637283</v>
      </c>
      <c r="J91" s="872"/>
      <c r="K91" s="553">
        <f aca="true" t="shared" si="43" ref="K91:M92">B91</f>
        <v>24000</v>
      </c>
      <c r="L91" s="569">
        <f t="shared" si="43"/>
        <v>0.11</v>
      </c>
      <c r="M91" s="481">
        <f t="shared" si="43"/>
        <v>1</v>
      </c>
      <c r="N91" s="601">
        <f>K91*L91*M91</f>
        <v>2640</v>
      </c>
      <c r="O91" s="482">
        <f>N91/$N$110</f>
        <v>0.021293465083959972</v>
      </c>
      <c r="P91" s="483"/>
      <c r="Q91" s="830">
        <f>O91*'3.Contribution Split'!$P$126</f>
        <v>202607.32027387913</v>
      </c>
      <c r="R91" s="959">
        <f>Q91/K91</f>
        <v>8.441971678078296</v>
      </c>
      <c r="S91" s="506"/>
      <c r="T91" s="527">
        <f>Q91+H91</f>
        <v>623075.4399291739</v>
      </c>
      <c r="U91" s="506">
        <f>R91+I91</f>
        <v>25.96147666371558</v>
      </c>
      <c r="V91" s="513"/>
      <c r="W91"/>
      <c r="X91"/>
      <c r="Y91"/>
      <c r="Z91"/>
      <c r="AA91"/>
      <c r="AB91"/>
      <c r="AC91"/>
    </row>
    <row r="92" spans="1:22" s="56" customFormat="1" ht="15" customHeight="1">
      <c r="A92" s="169" t="s">
        <v>456</v>
      </c>
      <c r="B92" s="553">
        <v>4000</v>
      </c>
      <c r="C92" s="569">
        <v>0.11</v>
      </c>
      <c r="D92" s="586">
        <f>$D$14</f>
        <v>1</v>
      </c>
      <c r="E92" s="601">
        <f>B92*C92*D92</f>
        <v>440</v>
      </c>
      <c r="F92" s="482">
        <f>E92/$F$123</f>
        <v>0.0012645513213842814</v>
      </c>
      <c r="G92" s="483"/>
      <c r="H92" s="830">
        <f>F92*'3.Contribution Split'!$D$126</f>
        <v>70078.01994254914</v>
      </c>
      <c r="I92" s="951">
        <f>H92/B92</f>
        <v>17.519504985637287</v>
      </c>
      <c r="J92" s="872"/>
      <c r="K92" s="553">
        <f t="shared" si="43"/>
        <v>4000</v>
      </c>
      <c r="L92" s="569">
        <f t="shared" si="43"/>
        <v>0.11</v>
      </c>
      <c r="M92" s="481">
        <f t="shared" si="43"/>
        <v>1</v>
      </c>
      <c r="N92" s="601">
        <f>K92*L92*M92</f>
        <v>440</v>
      </c>
      <c r="O92" s="482">
        <f>N92/$N$110</f>
        <v>0.003548910847326662</v>
      </c>
      <c r="P92" s="483"/>
      <c r="Q92" s="830">
        <f>O92*'3.Contribution Split'!$P$126</f>
        <v>33767.88671231319</v>
      </c>
      <c r="R92" s="959">
        <f>Q92/K92</f>
        <v>8.441971678078298</v>
      </c>
      <c r="S92" s="506"/>
      <c r="T92" s="527">
        <f>Q92+H92</f>
        <v>103845.90665486234</v>
      </c>
      <c r="U92" s="506">
        <f>R92+I92</f>
        <v>25.961476663715587</v>
      </c>
      <c r="V92" s="513"/>
    </row>
    <row r="93" spans="1:22" s="56" customFormat="1" ht="15" customHeight="1">
      <c r="A93" s="170" t="s">
        <v>7</v>
      </c>
      <c r="B93" s="559"/>
      <c r="C93" s="575"/>
      <c r="D93" s="586"/>
      <c r="E93" s="601"/>
      <c r="F93" s="482"/>
      <c r="G93" s="483"/>
      <c r="H93" s="484"/>
      <c r="I93" s="951"/>
      <c r="J93" s="872"/>
      <c r="K93" s="553"/>
      <c r="L93" s="575"/>
      <c r="M93" s="481"/>
      <c r="N93" s="601"/>
      <c r="O93" s="482"/>
      <c r="P93" s="483"/>
      <c r="Q93" s="484"/>
      <c r="R93" s="959"/>
      <c r="S93" s="506"/>
      <c r="T93" s="527"/>
      <c r="U93" s="506"/>
      <c r="V93" s="513"/>
    </row>
    <row r="94" spans="1:22" s="56" customFormat="1" ht="15" customHeight="1">
      <c r="A94" s="169" t="s">
        <v>71</v>
      </c>
      <c r="B94" s="553">
        <v>2550</v>
      </c>
      <c r="C94" s="569">
        <v>10</v>
      </c>
      <c r="D94" s="586">
        <f>$D$8</f>
        <v>1</v>
      </c>
      <c r="E94" s="601">
        <f aca="true" t="shared" si="44" ref="E94:E100">B94*C94*D94</f>
        <v>25500</v>
      </c>
      <c r="F94" s="965">
        <f>E94/$F$123</f>
        <v>0.07328649703477084</v>
      </c>
      <c r="G94" s="483"/>
      <c r="H94" s="884">
        <f>('3.Contribution Split'!$D$125*J94)+($H$129*J94)</f>
        <v>4800492.779248945</v>
      </c>
      <c r="I94" s="951">
        <f>H94/B94</f>
        <v>1882.5461879407628</v>
      </c>
      <c r="J94" s="883">
        <f>F94/$F$127</f>
        <v>0.15561115518398727</v>
      </c>
      <c r="K94" s="553">
        <f aca="true" t="shared" si="45" ref="K94:M95">B94</f>
        <v>2550</v>
      </c>
      <c r="L94" s="569">
        <f t="shared" si="45"/>
        <v>10</v>
      </c>
      <c r="M94" s="481">
        <f t="shared" si="45"/>
        <v>1</v>
      </c>
      <c r="N94" s="601">
        <f>K94*L94*M94</f>
        <v>25500</v>
      </c>
      <c r="O94" s="965">
        <f>N94/$N$110</f>
        <v>0.20567551501552245</v>
      </c>
      <c r="P94" s="483"/>
      <c r="Q94" s="884">
        <f>('3.Contribution Split'!$P$125*S94)+($Q$129*S94)</f>
        <v>25275902.525372695</v>
      </c>
      <c r="R94" s="959">
        <f>Q94/K94</f>
        <v>9912.118637401058</v>
      </c>
      <c r="S94" s="966">
        <f>O94/$Q$127</f>
        <v>0.5666666666666667</v>
      </c>
      <c r="T94" s="527">
        <f>Q94+H94</f>
        <v>30076395.30462164</v>
      </c>
      <c r="U94" s="506">
        <f>R94+I94</f>
        <v>11794.66482534182</v>
      </c>
      <c r="V94" s="513"/>
    </row>
    <row r="95" spans="1:22" s="56" customFormat="1" ht="15" customHeight="1">
      <c r="A95" s="169" t="s">
        <v>72</v>
      </c>
      <c r="B95" s="553">
        <v>1950</v>
      </c>
      <c r="C95" s="569">
        <v>10</v>
      </c>
      <c r="D95" s="586">
        <f>$D$8</f>
        <v>1</v>
      </c>
      <c r="E95" s="601">
        <f t="shared" si="44"/>
        <v>19500</v>
      </c>
      <c r="F95" s="965">
        <f>E95/$F$123</f>
        <v>0.05604261537953065</v>
      </c>
      <c r="G95" s="483"/>
      <c r="H95" s="884">
        <f>('3.Contribution Split'!$D$125*J95)+($H$129*J95)</f>
        <v>3670965.066484488</v>
      </c>
      <c r="I95" s="951">
        <f>H95/B95</f>
        <v>1882.546187940763</v>
      </c>
      <c r="J95" s="883">
        <f>F95/$F$127</f>
        <v>0.11899676572893145</v>
      </c>
      <c r="K95" s="553">
        <f t="shared" si="45"/>
        <v>1950</v>
      </c>
      <c r="L95" s="569">
        <f t="shared" si="45"/>
        <v>10</v>
      </c>
      <c r="M95" s="481">
        <f t="shared" si="45"/>
        <v>1</v>
      </c>
      <c r="N95" s="601">
        <f>K95*L95*M95</f>
        <v>19500</v>
      </c>
      <c r="O95" s="965">
        <f>N95/$N$110</f>
        <v>0.1572812761883407</v>
      </c>
      <c r="P95" s="483"/>
      <c r="Q95" s="884">
        <f>('3.Contribution Split'!$P$125*S95)+($Q$129*S95)</f>
        <v>19328631.34293206</v>
      </c>
      <c r="R95" s="959">
        <f>Q95/K95</f>
        <v>9912.118637401056</v>
      </c>
      <c r="S95" s="966">
        <f>O95/$Q$127</f>
        <v>0.43333333333333335</v>
      </c>
      <c r="T95" s="527">
        <f>Q95+H95</f>
        <v>22999596.40941655</v>
      </c>
      <c r="U95" s="506">
        <f>R95+I95</f>
        <v>11794.664825341819</v>
      </c>
      <c r="V95" s="513"/>
    </row>
    <row r="96" spans="1:22" s="56" customFormat="1" ht="15" customHeight="1">
      <c r="A96" s="170" t="s">
        <v>10</v>
      </c>
      <c r="B96" s="559"/>
      <c r="C96" s="575"/>
      <c r="D96" s="586"/>
      <c r="E96" s="601"/>
      <c r="F96" s="482"/>
      <c r="G96" s="483"/>
      <c r="H96" s="484"/>
      <c r="I96" s="951"/>
      <c r="J96" s="872"/>
      <c r="K96" s="559"/>
      <c r="L96" s="575"/>
      <c r="M96" s="481"/>
      <c r="N96" s="601"/>
      <c r="O96" s="482"/>
      <c r="P96" s="483"/>
      <c r="Q96" s="484"/>
      <c r="R96" s="959"/>
      <c r="S96" s="506"/>
      <c r="T96" s="527"/>
      <c r="U96" s="506"/>
      <c r="V96" s="513"/>
    </row>
    <row r="97" spans="1:22" s="676" customFormat="1" ht="15" customHeight="1">
      <c r="A97" s="169" t="s">
        <v>439</v>
      </c>
      <c r="B97" s="553">
        <v>2650</v>
      </c>
      <c r="C97" s="569">
        <v>0.31</v>
      </c>
      <c r="D97" s="586">
        <f>$D$14</f>
        <v>1</v>
      </c>
      <c r="E97" s="601">
        <f t="shared" si="44"/>
        <v>821.5</v>
      </c>
      <c r="F97" s="482">
        <f>E97/$F$123</f>
        <v>0.002360974796629971</v>
      </c>
      <c r="G97" s="483"/>
      <c r="H97" s="830">
        <f>F97*'3.Contribution Split'!$D$126</f>
        <v>130838.84859728208</v>
      </c>
      <c r="I97" s="951">
        <f>H97/B97</f>
        <v>49.37315041406871</v>
      </c>
      <c r="J97" s="872"/>
      <c r="K97" s="553">
        <f aca="true" t="shared" si="46" ref="K97:M100">B97</f>
        <v>2650</v>
      </c>
      <c r="L97" s="569">
        <f t="shared" si="46"/>
        <v>0.31</v>
      </c>
      <c r="M97" s="481">
        <f t="shared" si="46"/>
        <v>1</v>
      </c>
      <c r="N97" s="601">
        <f>K97*L97*M97</f>
        <v>821.5</v>
      </c>
      <c r="O97" s="482">
        <f>N97/$N$110</f>
        <v>0.006625977866088302</v>
      </c>
      <c r="P97" s="483"/>
      <c r="Q97" s="830">
        <f>O97*'3.Contribution Split'!$P$126</f>
        <v>63046.17939583019</v>
      </c>
      <c r="R97" s="959">
        <f>Q97/K97</f>
        <v>23.791011092766112</v>
      </c>
      <c r="S97" s="506"/>
      <c r="T97" s="527">
        <f aca="true" t="shared" si="47" ref="T97:U100">Q97+H97</f>
        <v>193885.02799311228</v>
      </c>
      <c r="U97" s="506">
        <f t="shared" si="47"/>
        <v>73.16416150683483</v>
      </c>
      <c r="V97" s="513"/>
    </row>
    <row r="98" spans="1:22" s="676" customFormat="1" ht="15" customHeight="1">
      <c r="A98" s="169" t="s">
        <v>457</v>
      </c>
      <c r="B98" s="553">
        <v>114000</v>
      </c>
      <c r="C98" s="569">
        <v>0.31</v>
      </c>
      <c r="D98" s="586">
        <f>$D$14</f>
        <v>1</v>
      </c>
      <c r="E98" s="601">
        <f t="shared" si="44"/>
        <v>35340</v>
      </c>
      <c r="F98" s="482">
        <f>E98/$F$123</f>
        <v>0.10156646294936478</v>
      </c>
      <c r="G98" s="483"/>
      <c r="H98" s="830">
        <f>F98*'3.Contribution Split'!$D$126</f>
        <v>5628539.147203833</v>
      </c>
      <c r="I98" s="951">
        <f>H98/B98</f>
        <v>49.37315041406871</v>
      </c>
      <c r="J98" s="872"/>
      <c r="K98" s="553">
        <f t="shared" si="46"/>
        <v>114000</v>
      </c>
      <c r="L98" s="569">
        <f t="shared" si="46"/>
        <v>0.31</v>
      </c>
      <c r="M98" s="481">
        <f t="shared" si="46"/>
        <v>1</v>
      </c>
      <c r="N98" s="601">
        <f>K98*L98*M98</f>
        <v>35340</v>
      </c>
      <c r="O98" s="482">
        <f>N98/$N$110</f>
        <v>0.2850420666921005</v>
      </c>
      <c r="P98" s="483"/>
      <c r="Q98" s="830">
        <f>O98*'3.Contribution Split'!$P$126</f>
        <v>2712175.2645753366</v>
      </c>
      <c r="R98" s="959">
        <f>Q98/K98</f>
        <v>23.79101109276611</v>
      </c>
      <c r="S98" s="506"/>
      <c r="T98" s="527">
        <f t="shared" si="47"/>
        <v>8340714.411779169</v>
      </c>
      <c r="U98" s="506">
        <f t="shared" si="47"/>
        <v>73.16416150683482</v>
      </c>
      <c r="V98" s="513"/>
    </row>
    <row r="99" spans="1:22" s="676" customFormat="1" ht="15" customHeight="1">
      <c r="A99" s="1047" t="s">
        <v>440</v>
      </c>
      <c r="B99" s="553">
        <v>13000</v>
      </c>
      <c r="C99" s="569">
        <v>0.31</v>
      </c>
      <c r="D99" s="586">
        <f>$D$14</f>
        <v>1</v>
      </c>
      <c r="E99" s="601">
        <f t="shared" si="44"/>
        <v>4030</v>
      </c>
      <c r="F99" s="482">
        <f>E99/$F$123</f>
        <v>0.011582140511769668</v>
      </c>
      <c r="G99" s="483"/>
      <c r="H99" s="830">
        <f>F99*'3.Contribution Split'!$D$126</f>
        <v>641850.9553828932</v>
      </c>
      <c r="I99" s="951">
        <f>H99/B99</f>
        <v>49.37315041406871</v>
      </c>
      <c r="J99" s="872"/>
      <c r="K99" s="553">
        <f t="shared" si="46"/>
        <v>13000</v>
      </c>
      <c r="L99" s="569">
        <f t="shared" si="46"/>
        <v>0.31</v>
      </c>
      <c r="M99" s="481">
        <f t="shared" si="46"/>
        <v>1</v>
      </c>
      <c r="N99" s="601">
        <f>K99*L99*M99</f>
        <v>4030</v>
      </c>
      <c r="O99" s="482">
        <f>N99/$N$110</f>
        <v>0.032504797078923744</v>
      </c>
      <c r="P99" s="483"/>
      <c r="Q99" s="830">
        <f>O99*'3.Contribution Split'!$P$126</f>
        <v>309283.14420595946</v>
      </c>
      <c r="R99" s="959">
        <f>Q99/K99</f>
        <v>23.791011092766112</v>
      </c>
      <c r="S99" s="506"/>
      <c r="T99" s="527">
        <f t="shared" si="47"/>
        <v>951134.0995888526</v>
      </c>
      <c r="U99" s="506">
        <f t="shared" si="47"/>
        <v>73.16416150683483</v>
      </c>
      <c r="V99" s="513"/>
    </row>
    <row r="100" spans="1:22" s="56" customFormat="1" ht="15" customHeight="1">
      <c r="A100" s="169" t="s">
        <v>73</v>
      </c>
      <c r="B100" s="553">
        <v>5000</v>
      </c>
      <c r="C100" s="569">
        <v>0.31</v>
      </c>
      <c r="D100" s="586">
        <f>$D$14</f>
        <v>1</v>
      </c>
      <c r="E100" s="601">
        <f t="shared" si="44"/>
        <v>1550</v>
      </c>
      <c r="F100" s="482">
        <f>E100/$F$123</f>
        <v>0.004454669427603719</v>
      </c>
      <c r="G100" s="483"/>
      <c r="H100" s="830">
        <f>F100*'3.Contribution Split'!$D$126</f>
        <v>246865.75207034356</v>
      </c>
      <c r="I100" s="951">
        <f>H100/B100</f>
        <v>49.37315041406871</v>
      </c>
      <c r="J100" s="872"/>
      <c r="K100" s="553">
        <f t="shared" si="46"/>
        <v>5000</v>
      </c>
      <c r="L100" s="569">
        <f t="shared" si="46"/>
        <v>0.31</v>
      </c>
      <c r="M100" s="481">
        <f t="shared" si="46"/>
        <v>1</v>
      </c>
      <c r="N100" s="601">
        <f>K100*L100*M100</f>
        <v>1550</v>
      </c>
      <c r="O100" s="482">
        <f>N100/$N$110</f>
        <v>0.012501845030355287</v>
      </c>
      <c r="P100" s="483"/>
      <c r="Q100" s="830">
        <f>O100*'3.Contribution Split'!$P$126</f>
        <v>118955.05546383056</v>
      </c>
      <c r="R100" s="959">
        <f>Q100/K100</f>
        <v>23.791011092766112</v>
      </c>
      <c r="S100" s="506"/>
      <c r="T100" s="527">
        <f t="shared" si="47"/>
        <v>365820.8075341741</v>
      </c>
      <c r="U100" s="506">
        <f t="shared" si="47"/>
        <v>73.16416150683483</v>
      </c>
      <c r="V100" s="513"/>
    </row>
    <row r="101" spans="1:22" s="56" customFormat="1" ht="15" customHeight="1">
      <c r="A101" s="170" t="s">
        <v>12</v>
      </c>
      <c r="B101" s="559"/>
      <c r="C101" s="575"/>
      <c r="D101" s="586"/>
      <c r="E101" s="601"/>
      <c r="F101" s="482"/>
      <c r="G101" s="483"/>
      <c r="H101" s="830"/>
      <c r="I101" s="951"/>
      <c r="J101" s="872"/>
      <c r="K101" s="559"/>
      <c r="L101" s="575"/>
      <c r="M101" s="481"/>
      <c r="N101" s="601"/>
      <c r="O101" s="482"/>
      <c r="P101" s="483"/>
      <c r="Q101" s="830"/>
      <c r="R101" s="959"/>
      <c r="S101" s="506"/>
      <c r="T101" s="527"/>
      <c r="U101" s="506"/>
      <c r="V101" s="513"/>
    </row>
    <row r="102" spans="1:22" s="676" customFormat="1" ht="15" customHeight="1">
      <c r="A102" s="169" t="s">
        <v>74</v>
      </c>
      <c r="B102" s="553">
        <v>6000</v>
      </c>
      <c r="C102" s="569">
        <v>0.23</v>
      </c>
      <c r="D102" s="586">
        <f>$D$14</f>
        <v>1</v>
      </c>
      <c r="E102" s="601">
        <f>B102*C102*D102</f>
        <v>1380</v>
      </c>
      <c r="F102" s="482">
        <f>E102/$F$123</f>
        <v>0.003966092780705246</v>
      </c>
      <c r="G102" s="483"/>
      <c r="H102" s="830">
        <f>F102*'3.Contribution Split'!$D$126</f>
        <v>219790.15345617683</v>
      </c>
      <c r="I102" s="951">
        <f>H102/B102</f>
        <v>36.63169224269614</v>
      </c>
      <c r="J102" s="872"/>
      <c r="K102" s="553">
        <f aca="true" t="shared" si="48" ref="K102:M104">B102</f>
        <v>6000</v>
      </c>
      <c r="L102" s="569">
        <f t="shared" si="48"/>
        <v>0.23</v>
      </c>
      <c r="M102" s="481">
        <f t="shared" si="48"/>
        <v>1</v>
      </c>
      <c r="N102" s="601">
        <f>K102*L102*M102</f>
        <v>1380</v>
      </c>
      <c r="O102" s="482">
        <f>N102/$N$110</f>
        <v>0.011130674930251803</v>
      </c>
      <c r="P102" s="483"/>
      <c r="Q102" s="830">
        <f>O102*'3.Contribution Split'!$P$126</f>
        <v>105908.37196134591</v>
      </c>
      <c r="R102" s="959">
        <f>Q102/K102</f>
        <v>17.651395326890984</v>
      </c>
      <c r="S102" s="506"/>
      <c r="T102" s="527">
        <f aca="true" t="shared" si="49" ref="T102:U104">Q102+H102</f>
        <v>325698.52541752276</v>
      </c>
      <c r="U102" s="506">
        <f t="shared" si="49"/>
        <v>54.283087569587124</v>
      </c>
      <c r="V102" s="513"/>
    </row>
    <row r="103" spans="1:22" s="676" customFormat="1" ht="15" customHeight="1">
      <c r="A103" s="169" t="s">
        <v>75</v>
      </c>
      <c r="B103" s="553">
        <v>240</v>
      </c>
      <c r="C103" s="569">
        <v>0.23</v>
      </c>
      <c r="D103" s="586">
        <f>$D$14</f>
        <v>1</v>
      </c>
      <c r="E103" s="601">
        <f>B103*C103*D103</f>
        <v>55.2</v>
      </c>
      <c r="F103" s="482">
        <f>E103/$F$123</f>
        <v>0.00015864371122820985</v>
      </c>
      <c r="G103" s="483"/>
      <c r="H103" s="830">
        <f>F103*'3.Contribution Split'!$D$126</f>
        <v>8791.606138247074</v>
      </c>
      <c r="I103" s="951">
        <f>H103/B103</f>
        <v>36.63169224269614</v>
      </c>
      <c r="J103" s="872"/>
      <c r="K103" s="553">
        <f t="shared" si="48"/>
        <v>240</v>
      </c>
      <c r="L103" s="569">
        <f t="shared" si="48"/>
        <v>0.23</v>
      </c>
      <c r="M103" s="481">
        <f t="shared" si="48"/>
        <v>1</v>
      </c>
      <c r="N103" s="601">
        <f>K103*L103*M103</f>
        <v>55.2</v>
      </c>
      <c r="O103" s="482">
        <f>N103/$N$110</f>
        <v>0.0004452269972100722</v>
      </c>
      <c r="P103" s="483"/>
      <c r="Q103" s="830">
        <f>O103*'3.Contribution Split'!$P$126</f>
        <v>4236.334878453837</v>
      </c>
      <c r="R103" s="959">
        <f>Q103/K103</f>
        <v>17.651395326890984</v>
      </c>
      <c r="S103" s="506"/>
      <c r="T103" s="527">
        <f t="shared" si="49"/>
        <v>13027.941016700912</v>
      </c>
      <c r="U103" s="506">
        <f t="shared" si="49"/>
        <v>54.283087569587124</v>
      </c>
      <c r="V103" s="513"/>
    </row>
    <row r="104" spans="1:22" s="56" customFormat="1" ht="15" customHeight="1">
      <c r="A104" s="169" t="s">
        <v>76</v>
      </c>
      <c r="B104" s="553">
        <v>4000</v>
      </c>
      <c r="C104" s="569">
        <v>0.23</v>
      </c>
      <c r="D104" s="586">
        <f>$D$14</f>
        <v>1</v>
      </c>
      <c r="E104" s="601">
        <f>B104*C104*D104</f>
        <v>920</v>
      </c>
      <c r="F104" s="482">
        <f>E104/$F$123</f>
        <v>0.002644061853803497</v>
      </c>
      <c r="G104" s="483"/>
      <c r="H104" s="830">
        <f>F104*'3.Contribution Split'!$D$126</f>
        <v>146526.76897078456</v>
      </c>
      <c r="I104" s="951">
        <f>H104/B104</f>
        <v>36.63169224269614</v>
      </c>
      <c r="J104" s="872"/>
      <c r="K104" s="553">
        <f t="shared" si="48"/>
        <v>4000</v>
      </c>
      <c r="L104" s="569">
        <f t="shared" si="48"/>
        <v>0.23</v>
      </c>
      <c r="M104" s="481">
        <f t="shared" si="48"/>
        <v>1</v>
      </c>
      <c r="N104" s="601">
        <f>K104*L104*M104</f>
        <v>920</v>
      </c>
      <c r="O104" s="482">
        <f>N104/$N$110</f>
        <v>0.0074204499535012024</v>
      </c>
      <c r="P104" s="483"/>
      <c r="Q104" s="830">
        <f>O104*'3.Contribution Split'!$P$126</f>
        <v>70605.58130756395</v>
      </c>
      <c r="R104" s="959">
        <f>Q104/K104</f>
        <v>17.651395326890988</v>
      </c>
      <c r="S104" s="506"/>
      <c r="T104" s="527">
        <f t="shared" si="49"/>
        <v>217132.3502783485</v>
      </c>
      <c r="U104" s="506">
        <f t="shared" si="49"/>
        <v>54.283087569587124</v>
      </c>
      <c r="V104" s="513"/>
    </row>
    <row r="105" spans="1:22" s="56" customFormat="1" ht="15" customHeight="1">
      <c r="A105" s="170" t="s">
        <v>5</v>
      </c>
      <c r="B105" s="559"/>
      <c r="C105" s="575"/>
      <c r="D105" s="586"/>
      <c r="E105" s="601"/>
      <c r="F105" s="482"/>
      <c r="G105" s="483"/>
      <c r="H105" s="830"/>
      <c r="I105" s="951"/>
      <c r="J105" s="872"/>
      <c r="K105" s="559"/>
      <c r="L105" s="575"/>
      <c r="M105" s="481"/>
      <c r="N105" s="601"/>
      <c r="O105" s="482"/>
      <c r="P105" s="483"/>
      <c r="Q105" s="830"/>
      <c r="R105" s="959"/>
      <c r="S105" s="506"/>
      <c r="T105" s="527"/>
      <c r="U105" s="506"/>
      <c r="V105" s="513"/>
    </row>
    <row r="106" spans="1:22" s="676" customFormat="1" ht="15" customHeight="1">
      <c r="A106" s="169" t="s">
        <v>450</v>
      </c>
      <c r="B106" s="553">
        <v>1500</v>
      </c>
      <c r="C106" s="569">
        <v>2.11</v>
      </c>
      <c r="D106" s="586">
        <f>$D$14</f>
        <v>1</v>
      </c>
      <c r="E106" s="601">
        <f>B106*C106*D106</f>
        <v>3165</v>
      </c>
      <c r="F106" s="482">
        <f>E106/$F$123</f>
        <v>0.009096147573139205</v>
      </c>
      <c r="G106" s="483"/>
      <c r="H106" s="484">
        <f>F106*'3.Contribution Split'!$D$126</f>
        <v>504083.9389049273</v>
      </c>
      <c r="I106" s="951">
        <f>H106/B106</f>
        <v>336.05595926995153</v>
      </c>
      <c r="J106" s="872"/>
      <c r="K106" s="553">
        <f>B106</f>
        <v>1500</v>
      </c>
      <c r="L106" s="569">
        <f>C106</f>
        <v>2.11</v>
      </c>
      <c r="M106" s="481">
        <f>D106</f>
        <v>1</v>
      </c>
      <c r="N106" s="601">
        <f>K106*L106*M106</f>
        <v>3165</v>
      </c>
      <c r="O106" s="482">
        <f>N106/$N$110</f>
        <v>0.025527960981338374</v>
      </c>
      <c r="P106" s="483"/>
      <c r="Q106" s="484">
        <f>O106*'3.Contribution Split'!$P$126</f>
        <v>242898.54873743464</v>
      </c>
      <c r="R106" s="959">
        <f>Q106/K106</f>
        <v>161.93236582495643</v>
      </c>
      <c r="S106" s="506"/>
      <c r="T106" s="527">
        <f>Q106+H106</f>
        <v>746982.4876423619</v>
      </c>
      <c r="U106" s="506">
        <f>R106+I106</f>
        <v>497.98832509490796</v>
      </c>
      <c r="V106" s="513"/>
    </row>
    <row r="107" spans="1:22" s="56" customFormat="1" ht="15" customHeight="1">
      <c r="A107" s="170" t="s">
        <v>9</v>
      </c>
      <c r="B107" s="559"/>
      <c r="C107" s="575"/>
      <c r="D107" s="586"/>
      <c r="E107" s="601"/>
      <c r="F107" s="482"/>
      <c r="G107" s="483"/>
      <c r="H107" s="830"/>
      <c r="I107" s="951"/>
      <c r="J107" s="872"/>
      <c r="K107" s="559"/>
      <c r="L107" s="575"/>
      <c r="M107" s="481"/>
      <c r="N107" s="601"/>
      <c r="O107" s="482"/>
      <c r="P107" s="483"/>
      <c r="Q107" s="830"/>
      <c r="R107" s="959"/>
      <c r="S107" s="506"/>
      <c r="T107" s="527"/>
      <c r="U107" s="506"/>
      <c r="V107" s="513"/>
    </row>
    <row r="108" spans="1:22" s="676" customFormat="1" ht="15" customHeight="1">
      <c r="A108" s="169" t="s">
        <v>458</v>
      </c>
      <c r="B108" s="553">
        <v>171000</v>
      </c>
      <c r="C108" s="569">
        <v>0.16</v>
      </c>
      <c r="D108" s="586">
        <f>$D$14</f>
        <v>1</v>
      </c>
      <c r="E108" s="601">
        <f>B108*C108*D108</f>
        <v>27360</v>
      </c>
      <c r="F108" s="482">
        <f>E108/$F$123</f>
        <v>0.0786321003478953</v>
      </c>
      <c r="G108" s="483"/>
      <c r="H108" s="830">
        <f>F108*'3.Contribution Split'!$D$126</f>
        <v>4357578.6946094185</v>
      </c>
      <c r="I108" s="951">
        <f>H108/B108</f>
        <v>25.48291634274514</v>
      </c>
      <c r="J108" s="872"/>
      <c r="K108" s="553">
        <f aca="true" t="shared" si="50" ref="K108:M109">B108</f>
        <v>171000</v>
      </c>
      <c r="L108" s="569">
        <f t="shared" si="50"/>
        <v>0.16</v>
      </c>
      <c r="M108" s="481">
        <f t="shared" si="50"/>
        <v>1</v>
      </c>
      <c r="N108" s="601">
        <f>K108*L108*M108</f>
        <v>27360</v>
      </c>
      <c r="O108" s="482">
        <f>N108/$N$110</f>
        <v>0.2206777290519488</v>
      </c>
      <c r="P108" s="483"/>
      <c r="Q108" s="830">
        <f>O108*'3.Contribution Split'!$P$126</f>
        <v>2099748.591929293</v>
      </c>
      <c r="R108" s="959">
        <f>Q108/K108</f>
        <v>12.27923153175025</v>
      </c>
      <c r="S108" s="506"/>
      <c r="T108" s="527">
        <f>Q108+H108</f>
        <v>6457327.286538711</v>
      </c>
      <c r="U108" s="506">
        <f>R108+I108</f>
        <v>37.76214787449539</v>
      </c>
      <c r="V108" s="513"/>
    </row>
    <row r="109" spans="1:22" s="56" customFormat="1" ht="15" customHeight="1" thickBot="1">
      <c r="A109" s="203" t="s">
        <v>77</v>
      </c>
      <c r="B109" s="553">
        <v>8000</v>
      </c>
      <c r="C109" s="569">
        <v>0.16</v>
      </c>
      <c r="D109" s="586">
        <f>$D$14</f>
        <v>1</v>
      </c>
      <c r="E109" s="601">
        <f>B109*C109*D109</f>
        <v>1280</v>
      </c>
      <c r="F109" s="482">
        <f>E109/$F$123</f>
        <v>0.0036786947531179093</v>
      </c>
      <c r="G109" s="483"/>
      <c r="H109" s="830">
        <f>F109*'3.Contribution Split'!$D$126</f>
        <v>203863.3307419611</v>
      </c>
      <c r="I109" s="951">
        <f>H109/B109</f>
        <v>25.48291634274514</v>
      </c>
      <c r="J109" s="872"/>
      <c r="K109" s="553">
        <f t="shared" si="50"/>
        <v>8000</v>
      </c>
      <c r="L109" s="569">
        <f t="shared" si="50"/>
        <v>0.16</v>
      </c>
      <c r="M109" s="481">
        <f t="shared" si="50"/>
        <v>1</v>
      </c>
      <c r="N109" s="602">
        <f>K109*L109*M109</f>
        <v>1280</v>
      </c>
      <c r="O109" s="487">
        <f>N109/$N$110</f>
        <v>0.010324104283132107</v>
      </c>
      <c r="P109" s="483"/>
      <c r="Q109" s="830">
        <f>O109*'3.Contribution Split'!$P$126</f>
        <v>98233.85225400199</v>
      </c>
      <c r="R109" s="962">
        <f>Q109/K109</f>
        <v>12.279231531750249</v>
      </c>
      <c r="S109" s="507"/>
      <c r="T109" s="528">
        <f>Q109+H109</f>
        <v>302097.1829959631</v>
      </c>
      <c r="U109" s="507">
        <f>R109+I109</f>
        <v>37.76214787449538</v>
      </c>
      <c r="V109" s="517"/>
    </row>
    <row r="110" spans="1:22" s="56" customFormat="1" ht="15" customHeight="1" thickBot="1">
      <c r="A110" s="627" t="s">
        <v>300</v>
      </c>
      <c r="B110" s="556"/>
      <c r="C110" s="572"/>
      <c r="D110" s="588"/>
      <c r="E110" s="508">
        <f>SUM($E$90:$E$109)</f>
        <v>123981.7</v>
      </c>
      <c r="F110" s="497">
        <f>SUM($F$90:$F$109)</f>
        <v>0.35632096036924893</v>
      </c>
      <c r="G110" s="490"/>
      <c r="H110" s="491">
        <f>SUM($H$90:$H$109)</f>
        <v>21050733.181407146</v>
      </c>
      <c r="I110" s="955"/>
      <c r="J110" s="874"/>
      <c r="K110" s="556"/>
      <c r="L110" s="572"/>
      <c r="M110" s="488"/>
      <c r="N110" s="508">
        <f>SUM($N$90:$N$109)</f>
        <v>123981.7</v>
      </c>
      <c r="O110" s="509">
        <f>SUM($O$91:$O$109)</f>
        <v>1</v>
      </c>
      <c r="P110" s="490"/>
      <c r="Q110" s="491">
        <f>SUM($Q$91:$Q$109)</f>
        <v>50666000.00000001</v>
      </c>
      <c r="R110" s="963"/>
      <c r="S110" s="969">
        <f>SUM(S94:S109)</f>
        <v>1</v>
      </c>
      <c r="T110" s="532">
        <f>SUM($T$91:$T$109)</f>
        <v>71716733.18140714</v>
      </c>
      <c r="U110" s="533"/>
      <c r="V110" s="625"/>
    </row>
    <row r="111" spans="1:47" s="225" customFormat="1" ht="15" customHeight="1" thickBot="1">
      <c r="A111" s="616"/>
      <c r="B111" s="617"/>
      <c r="C111" s="618"/>
      <c r="D111" s="619"/>
      <c r="E111" s="617"/>
      <c r="F111" s="620"/>
      <c r="G111" s="620"/>
      <c r="H111" s="620"/>
      <c r="I111" s="620"/>
      <c r="J111" s="620"/>
      <c r="K111" s="617"/>
      <c r="L111" s="618"/>
      <c r="M111" s="620"/>
      <c r="N111" s="617"/>
      <c r="O111" s="620"/>
      <c r="P111" s="620"/>
      <c r="Q111" s="620"/>
      <c r="R111" s="620"/>
      <c r="S111" s="620"/>
      <c r="T111" s="620"/>
      <c r="U111" s="620"/>
      <c r="V111" s="62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s="218" customFormat="1" ht="15" customHeight="1" thickBot="1">
      <c r="A112" s="368" t="s">
        <v>14</v>
      </c>
      <c r="B112" s="552"/>
      <c r="C112" s="567"/>
      <c r="D112" s="584"/>
      <c r="E112" s="599"/>
      <c r="F112" s="369"/>
      <c r="G112" s="369"/>
      <c r="H112" s="369"/>
      <c r="I112" s="369"/>
      <c r="J112" s="369"/>
      <c r="K112" s="552"/>
      <c r="L112" s="567"/>
      <c r="M112" s="369"/>
      <c r="N112" s="599"/>
      <c r="O112" s="369"/>
      <c r="P112" s="369"/>
      <c r="Q112" s="369"/>
      <c r="R112" s="369"/>
      <c r="S112" s="370"/>
      <c r="T112" s="368"/>
      <c r="U112" s="370"/>
      <c r="V112" s="370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22" ht="15" customHeight="1">
      <c r="A113" s="471" t="s">
        <v>6</v>
      </c>
      <c r="B113" s="561"/>
      <c r="C113" s="577"/>
      <c r="D113" s="592"/>
      <c r="E113" s="600"/>
      <c r="F113" s="479"/>
      <c r="G113" s="479"/>
      <c r="H113" s="480"/>
      <c r="I113" s="950"/>
      <c r="J113" s="875"/>
      <c r="K113" s="561"/>
      <c r="L113" s="577"/>
      <c r="M113" s="499"/>
      <c r="N113" s="600"/>
      <c r="O113" s="479"/>
      <c r="P113" s="479"/>
      <c r="Q113" s="480"/>
      <c r="R113" s="964"/>
      <c r="S113" s="512"/>
      <c r="T113" s="534"/>
      <c r="U113" s="505"/>
      <c r="V113" s="516"/>
    </row>
    <row r="114" spans="1:22" ht="15" customHeight="1">
      <c r="A114" s="169" t="s">
        <v>452</v>
      </c>
      <c r="B114" s="553">
        <v>9000</v>
      </c>
      <c r="C114" s="569">
        <v>0.11</v>
      </c>
      <c r="D114" s="586">
        <f>$D$14</f>
        <v>1</v>
      </c>
      <c r="E114" s="601">
        <f>B114*C114*D114</f>
        <v>990</v>
      </c>
      <c r="F114" s="482">
        <f>E114/$F$123</f>
        <v>0.002845240473114633</v>
      </c>
      <c r="G114" s="483"/>
      <c r="H114" s="830">
        <f>F114*'3.Contribution Split'!$D$126</f>
        <v>157675.54487073555</v>
      </c>
      <c r="I114" s="951">
        <f>H114/B114</f>
        <v>17.519504985637283</v>
      </c>
      <c r="J114" s="872"/>
      <c r="K114" s="553">
        <f>B114</f>
        <v>9000</v>
      </c>
      <c r="L114" s="569">
        <f>C114</f>
        <v>0.11</v>
      </c>
      <c r="M114" s="481">
        <f>D114</f>
        <v>1</v>
      </c>
      <c r="N114" s="601">
        <f>K114*L114*M114</f>
        <v>990</v>
      </c>
      <c r="O114" s="482">
        <f>N114/$N$121</f>
        <v>0.04491873791958185</v>
      </c>
      <c r="P114" s="483"/>
      <c r="Q114" s="830">
        <f>O114*'3.Contribution Split'!$S$119</f>
        <v>822686.6849971416</v>
      </c>
      <c r="R114" s="959">
        <f>Q114/K114</f>
        <v>91.40963166634907</v>
      </c>
      <c r="S114" s="506"/>
      <c r="T114" s="527">
        <f>Q114+H114</f>
        <v>980362.2298678772</v>
      </c>
      <c r="U114" s="506">
        <f>R114+I114</f>
        <v>108.92913665198635</v>
      </c>
      <c r="V114" s="513"/>
    </row>
    <row r="115" spans="1:22" ht="15" customHeight="1">
      <c r="A115" s="170" t="s">
        <v>7</v>
      </c>
      <c r="B115" s="559"/>
      <c r="C115" s="575"/>
      <c r="D115" s="586"/>
      <c r="E115" s="601"/>
      <c r="F115" s="482"/>
      <c r="G115" s="483"/>
      <c r="H115" s="484"/>
      <c r="I115" s="951"/>
      <c r="J115" s="872"/>
      <c r="K115" s="559"/>
      <c r="L115" s="575"/>
      <c r="M115" s="481"/>
      <c r="N115" s="601"/>
      <c r="O115" s="482"/>
      <c r="P115" s="483"/>
      <c r="Q115" s="484"/>
      <c r="R115" s="959"/>
      <c r="S115" s="506"/>
      <c r="T115" s="527"/>
      <c r="U115" s="506"/>
      <c r="V115" s="513"/>
    </row>
    <row r="116" spans="1:22" ht="15" customHeight="1">
      <c r="A116" s="169" t="s">
        <v>148</v>
      </c>
      <c r="B116" s="553">
        <v>1950</v>
      </c>
      <c r="C116" s="569">
        <v>10</v>
      </c>
      <c r="D116" s="586">
        <f>$D$8</f>
        <v>1</v>
      </c>
      <c r="E116" s="601">
        <f>B116*C116*D116</f>
        <v>19500</v>
      </c>
      <c r="F116" s="965">
        <f>E116/$F$123</f>
        <v>0.05604261537953065</v>
      </c>
      <c r="G116" s="483"/>
      <c r="H116" s="884">
        <f>('3.Contribution Split'!$D$125*J116)+($H$129*J116)</f>
        <v>3670965.066484488</v>
      </c>
      <c r="I116" s="951">
        <f>H116/B116</f>
        <v>1882.546187940763</v>
      </c>
      <c r="J116" s="883">
        <f>F116/$F$127</f>
        <v>0.11899676572893145</v>
      </c>
      <c r="K116" s="553">
        <f>B116</f>
        <v>1950</v>
      </c>
      <c r="L116" s="569">
        <f>C116</f>
        <v>10</v>
      </c>
      <c r="M116" s="481">
        <f>D116</f>
        <v>1</v>
      </c>
      <c r="N116" s="601">
        <f>K116*L116*M116</f>
        <v>19500</v>
      </c>
      <c r="O116" s="965">
        <f>N116/$N$121</f>
        <v>0.8847630196281273</v>
      </c>
      <c r="P116" s="483"/>
      <c r="Q116" s="884">
        <f>('3.Contribution Split'!$S$125*S116)+($S$129*S116)</f>
        <v>16204434.704489151</v>
      </c>
      <c r="R116" s="959">
        <f>Q116/K116</f>
        <v>8309.966515122642</v>
      </c>
      <c r="S116" s="998">
        <f>O116/$S$127</f>
        <v>1</v>
      </c>
      <c r="T116" s="527">
        <f>Q116+H116</f>
        <v>19875399.770973638</v>
      </c>
      <c r="U116" s="506">
        <f>R116+I116</f>
        <v>10192.512703063405</v>
      </c>
      <c r="V116" s="675"/>
    </row>
    <row r="117" spans="1:22" ht="15" customHeight="1">
      <c r="A117" s="170" t="s">
        <v>12</v>
      </c>
      <c r="B117" s="559"/>
      <c r="C117" s="575"/>
      <c r="D117" s="586"/>
      <c r="E117" s="601"/>
      <c r="F117" s="482"/>
      <c r="G117" s="483"/>
      <c r="H117" s="484"/>
      <c r="I117" s="951"/>
      <c r="J117" s="872"/>
      <c r="K117" s="559"/>
      <c r="L117" s="575"/>
      <c r="M117" s="481"/>
      <c r="N117" s="601"/>
      <c r="O117" s="482"/>
      <c r="P117" s="483"/>
      <c r="Q117" s="484"/>
      <c r="R117" s="959"/>
      <c r="S117" s="506"/>
      <c r="T117" s="527"/>
      <c r="U117" s="506"/>
      <c r="V117" s="513"/>
    </row>
    <row r="118" spans="1:22" ht="15" customHeight="1">
      <c r="A118" s="169" t="s">
        <v>390</v>
      </c>
      <c r="B118" s="553">
        <v>500</v>
      </c>
      <c r="C118" s="569">
        <v>0.23</v>
      </c>
      <c r="D118" s="586">
        <f>$D$14</f>
        <v>1</v>
      </c>
      <c r="E118" s="601">
        <f>B118*C118*D118</f>
        <v>115</v>
      </c>
      <c r="F118" s="482">
        <f>E118/$F$123</f>
        <v>0.00033050773172543714</v>
      </c>
      <c r="G118" s="483"/>
      <c r="H118" s="830">
        <f>F118*'3.Contribution Split'!$D$126</f>
        <v>18315.84612134807</v>
      </c>
      <c r="I118" s="951">
        <f>H118/B118</f>
        <v>36.63169224269614</v>
      </c>
      <c r="J118" s="872"/>
      <c r="K118" s="553">
        <f>B118</f>
        <v>500</v>
      </c>
      <c r="L118" s="569">
        <f>C118</f>
        <v>0.23</v>
      </c>
      <c r="M118" s="481">
        <f>D118</f>
        <v>1</v>
      </c>
      <c r="N118" s="601">
        <f>K118*L118*M118</f>
        <v>115</v>
      </c>
      <c r="O118" s="482">
        <f>N118/$N$121</f>
        <v>0.005217833192678699</v>
      </c>
      <c r="P118" s="483"/>
      <c r="Q118" s="830">
        <f>O118*'3.Contribution Split'!$S$119</f>
        <v>95564.61492391038</v>
      </c>
      <c r="R118" s="959">
        <f>Q118/K118</f>
        <v>191.12922984782077</v>
      </c>
      <c r="S118" s="506"/>
      <c r="T118" s="527">
        <f>Q118+H118</f>
        <v>113880.46104525845</v>
      </c>
      <c r="U118" s="506">
        <f>R118+I118</f>
        <v>227.7609220905169</v>
      </c>
      <c r="V118" s="513"/>
    </row>
    <row r="119" spans="1:22" ht="15" customHeight="1">
      <c r="A119" s="170" t="s">
        <v>5</v>
      </c>
      <c r="B119" s="559"/>
      <c r="C119" s="575"/>
      <c r="D119" s="586"/>
      <c r="E119" s="601"/>
      <c r="F119" s="482"/>
      <c r="G119" s="483"/>
      <c r="H119" s="484"/>
      <c r="I119" s="951"/>
      <c r="J119" s="872"/>
      <c r="K119" s="559"/>
      <c r="L119" s="575"/>
      <c r="M119" s="481"/>
      <c r="N119" s="601"/>
      <c r="O119" s="482"/>
      <c r="P119" s="483"/>
      <c r="Q119" s="484"/>
      <c r="R119" s="959"/>
      <c r="S119" s="506"/>
      <c r="T119" s="527"/>
      <c r="U119" s="506"/>
      <c r="V119" s="513"/>
    </row>
    <row r="120" spans="1:22" ht="15" customHeight="1" thickBot="1">
      <c r="A120" s="203" t="s">
        <v>249</v>
      </c>
      <c r="B120" s="555">
        <v>680</v>
      </c>
      <c r="C120" s="571">
        <v>2.11</v>
      </c>
      <c r="D120" s="586">
        <f>$D$14</f>
        <v>1</v>
      </c>
      <c r="E120" s="602">
        <f>B120*C120*D120</f>
        <v>1434.8</v>
      </c>
      <c r="F120" s="482">
        <f>E120/$F$123</f>
        <v>0.004123586899823106</v>
      </c>
      <c r="G120" s="483"/>
      <c r="H120" s="830">
        <f>F120*'3.Contribution Split'!$D$126</f>
        <v>228518.052303567</v>
      </c>
      <c r="I120" s="952">
        <f>H120/B120</f>
        <v>336.0559592699515</v>
      </c>
      <c r="J120" s="873"/>
      <c r="K120" s="555">
        <f>B120</f>
        <v>680</v>
      </c>
      <c r="L120" s="571">
        <f>C120</f>
        <v>2.11</v>
      </c>
      <c r="M120" s="486">
        <f>D120</f>
        <v>1</v>
      </c>
      <c r="N120" s="602">
        <f>K120*L120*M120</f>
        <v>1434.8</v>
      </c>
      <c r="O120" s="487">
        <f>N120/$N$121</f>
        <v>0.06510040925961216</v>
      </c>
      <c r="P120" s="483"/>
      <c r="Q120" s="830">
        <f>O120*'3.Contribution Split'!$S$119</f>
        <v>1192313.9955897967</v>
      </c>
      <c r="R120" s="962">
        <f>Q120/K120</f>
        <v>1753.4029346908774</v>
      </c>
      <c r="S120" s="507"/>
      <c r="T120" s="528">
        <f>Q120+H120</f>
        <v>1420832.0478933637</v>
      </c>
      <c r="U120" s="507">
        <f>R120+I120</f>
        <v>2089.458893960829</v>
      </c>
      <c r="V120" s="515"/>
    </row>
    <row r="121" spans="1:22" ht="15" customHeight="1" thickBot="1">
      <c r="A121" s="627" t="s">
        <v>301</v>
      </c>
      <c r="B121" s="556"/>
      <c r="C121" s="572"/>
      <c r="D121" s="588"/>
      <c r="E121" s="508">
        <f>SUM($E$113:$E$120)</f>
        <v>22039.8</v>
      </c>
      <c r="F121" s="489">
        <f>SUM($F$114:$F$120)</f>
        <v>0.06334195048419382</v>
      </c>
      <c r="G121" s="491"/>
      <c r="H121" s="491">
        <f>SUM($H$113:$H$120)</f>
        <v>4075474.5097801387</v>
      </c>
      <c r="I121" s="949"/>
      <c r="J121" s="874"/>
      <c r="K121" s="556"/>
      <c r="L121" s="572"/>
      <c r="M121" s="488"/>
      <c r="N121" s="508">
        <f>SUM($N$113:$N$120)</f>
        <v>22039.8</v>
      </c>
      <c r="O121" s="509">
        <f>SUM($O$114:$O$120)</f>
        <v>1</v>
      </c>
      <c r="P121" s="491"/>
      <c r="Q121" s="491">
        <f>SUM($Q$114:$Q$120)</f>
        <v>18315000</v>
      </c>
      <c r="R121" s="963"/>
      <c r="S121" s="969">
        <f>SUM(S115:S120)</f>
        <v>1</v>
      </c>
      <c r="T121" s="532">
        <f>SUM($T$114:$T$120)</f>
        <v>22390474.509780135</v>
      </c>
      <c r="U121" s="669"/>
      <c r="V121" s="670"/>
    </row>
    <row r="122" spans="1:22" ht="15" customHeight="1" thickBot="1">
      <c r="A122" s="627"/>
      <c r="B122" s="562"/>
      <c r="C122" s="578"/>
      <c r="D122" s="593"/>
      <c r="E122" s="682"/>
      <c r="F122" s="683"/>
      <c r="G122" s="501"/>
      <c r="H122" s="501"/>
      <c r="I122" s="953"/>
      <c r="J122" s="876"/>
      <c r="K122" s="562"/>
      <c r="L122" s="578"/>
      <c r="M122" s="447"/>
      <c r="N122" s="682"/>
      <c r="O122" s="684"/>
      <c r="P122" s="501"/>
      <c r="Q122" s="501"/>
      <c r="R122" s="874"/>
      <c r="S122" s="472"/>
      <c r="T122" s="614"/>
      <c r="U122" s="473"/>
      <c r="V122" s="518"/>
    </row>
    <row r="123" spans="1:22" ht="15.75">
      <c r="A123" s="446"/>
      <c r="B123" s="562"/>
      <c r="C123" s="578"/>
      <c r="D123" s="593"/>
      <c r="E123" s="605"/>
      <c r="F123" s="500">
        <f>$E$121+$E$110+$E$87+$E$50+$E$25</f>
        <v>347949.5</v>
      </c>
      <c r="G123" s="500"/>
      <c r="H123" s="501"/>
      <c r="I123" s="953"/>
      <c r="J123" s="876"/>
      <c r="K123" s="562"/>
      <c r="L123" s="578"/>
      <c r="M123" s="447"/>
      <c r="N123" s="605"/>
      <c r="O123" s="500">
        <f>$N$121+$N$110+$N$87+$N$50+$N$25</f>
        <v>352802.5</v>
      </c>
      <c r="P123" s="500"/>
      <c r="Q123" s="501"/>
      <c r="R123" s="876"/>
      <c r="S123" s="476"/>
      <c r="T123" s="614"/>
      <c r="U123" s="519"/>
      <c r="V123" s="518"/>
    </row>
    <row r="124" spans="1:22" ht="16.5" thickBot="1">
      <c r="A124" s="355"/>
      <c r="B124" s="563"/>
      <c r="C124" s="546"/>
      <c r="D124" s="581"/>
      <c r="E124" s="606"/>
      <c r="F124" s="475" t="s">
        <v>17</v>
      </c>
      <c r="G124" s="475"/>
      <c r="H124" s="502"/>
      <c r="I124" s="954"/>
      <c r="J124" s="220"/>
      <c r="K124" s="563"/>
      <c r="L124" s="546"/>
      <c r="M124" s="362"/>
      <c r="N124" s="606"/>
      <c r="O124" s="475" t="s">
        <v>17</v>
      </c>
      <c r="P124" s="475"/>
      <c r="Q124" s="502"/>
      <c r="R124" s="220"/>
      <c r="S124" s="477"/>
      <c r="T124" s="615"/>
      <c r="U124" s="520"/>
      <c r="V124" s="365"/>
    </row>
    <row r="125" spans="1:22" ht="18" thickBot="1">
      <c r="A125" s="1003" t="s">
        <v>19</v>
      </c>
      <c r="B125" s="970"/>
      <c r="C125" s="971"/>
      <c r="D125" s="1004"/>
      <c r="E125" s="973"/>
      <c r="F125" s="1005">
        <f>F121+F110+F87+F50+F25</f>
        <v>1</v>
      </c>
      <c r="G125" s="1006"/>
      <c r="H125" s="975">
        <f>+H121+H110+H87+H50+H25</f>
        <v>60167300</v>
      </c>
      <c r="I125" s="976"/>
      <c r="J125" s="1007"/>
      <c r="K125" s="970"/>
      <c r="L125" s="971"/>
      <c r="M125" s="972"/>
      <c r="N125" s="973"/>
      <c r="O125" s="974"/>
      <c r="P125" s="974"/>
      <c r="Q125" s="975">
        <f>Q121+Q110+Q87+Q50+Q25</f>
        <v>165622000</v>
      </c>
      <c r="R125" s="976"/>
      <c r="S125" s="977"/>
      <c r="T125" s="978">
        <f>T121+T110+T87+T50+T25</f>
        <v>225789300</v>
      </c>
      <c r="U125" s="979"/>
      <c r="V125" s="1008">
        <f>SUM(H125,Q125)</f>
        <v>225789300</v>
      </c>
    </row>
    <row r="126" spans="1:22" ht="17.25">
      <c r="A126" s="1003"/>
      <c r="B126" s="1009"/>
      <c r="C126" s="999"/>
      <c r="D126" s="890"/>
      <c r="E126" s="891"/>
      <c r="F126" s="1010"/>
      <c r="G126" s="358"/>
      <c r="H126" s="358"/>
      <c r="I126" s="358"/>
      <c r="J126" s="1007"/>
      <c r="K126" s="1093" t="s">
        <v>404</v>
      </c>
      <c r="L126" s="1094"/>
      <c r="M126" s="1011"/>
      <c r="N126" s="1012"/>
      <c r="O126" s="1013"/>
      <c r="P126" s="1013"/>
      <c r="Q126" s="1014"/>
      <c r="R126" s="1015"/>
      <c r="S126" s="1015"/>
      <c r="T126" s="1014"/>
      <c r="U126" s="1016"/>
      <c r="V126" s="1008"/>
    </row>
    <row r="127" spans="1:22" ht="13.5" customHeight="1" thickBot="1">
      <c r="A127" s="1041" t="s">
        <v>397</v>
      </c>
      <c r="B127" s="981"/>
      <c r="C127" s="1042"/>
      <c r="D127" s="1043"/>
      <c r="E127" s="982"/>
      <c r="F127" s="1044">
        <f>SUM(F8:F12,F29:F32,F54:F68,F94:F95,F116)</f>
        <v>0.47095914780736864</v>
      </c>
      <c r="G127" s="981"/>
      <c r="H127" s="981"/>
      <c r="I127" s="981" t="s">
        <v>398</v>
      </c>
      <c r="J127" s="1045">
        <f>SUM(J8:J120)</f>
        <v>1.0000000000000002</v>
      </c>
      <c r="K127" s="980" t="s">
        <v>401</v>
      </c>
      <c r="L127" s="995">
        <f>SUM(O8:O12)</f>
        <v>0.5010041504886865</v>
      </c>
      <c r="M127" s="988" t="s">
        <v>402</v>
      </c>
      <c r="N127" s="996">
        <f>SUM(O29:O32)</f>
        <v>0.4994712876842401</v>
      </c>
      <c r="O127" s="990" t="s">
        <v>405</v>
      </c>
      <c r="P127" s="983"/>
      <c r="Q127" s="996">
        <f>SUM(O94:O95)</f>
        <v>0.36295679120386315</v>
      </c>
      <c r="R127" s="992" t="s">
        <v>406</v>
      </c>
      <c r="S127" s="996">
        <f>O116</f>
        <v>0.8847630196281273</v>
      </c>
      <c r="T127" s="993" t="s">
        <v>403</v>
      </c>
      <c r="U127" s="997">
        <f>SUM(O54:O68)</f>
        <v>0.5204627914647452</v>
      </c>
      <c r="V127" s="1017"/>
    </row>
    <row r="128" spans="1:22" ht="12.75" hidden="1">
      <c r="A128" s="1023" t="s">
        <v>399</v>
      </c>
      <c r="B128" s="1024"/>
      <c r="C128" s="1025"/>
      <c r="D128" s="1026"/>
      <c r="E128" s="1027"/>
      <c r="F128" s="1028"/>
      <c r="G128" s="1024"/>
      <c r="H128" s="1024">
        <f>SUM(H14:H22,H34:H49,H70:H86,H91:H92,H97:H109,H114,H118,H120)</f>
        <v>29318015.61821471</v>
      </c>
      <c r="I128" s="1024"/>
      <c r="J128" s="1029"/>
      <c r="K128" s="1030"/>
      <c r="L128" s="1024">
        <f>SUM(Q14:Q22)</f>
        <v>10647473.637702506</v>
      </c>
      <c r="M128" s="1031"/>
      <c r="N128" s="1032">
        <f>SUM(Q34:Q49)</f>
        <v>11430073.674442695</v>
      </c>
      <c r="O128" s="1033"/>
      <c r="P128" s="1034"/>
      <c r="Q128" s="1035">
        <f>SUM(Q91:Q92,Q97:Q109)</f>
        <v>6061466.131695243</v>
      </c>
      <c r="R128" s="1036"/>
      <c r="S128" s="1037">
        <f>SUM(Q114,Q118,Q120)</f>
        <v>2110565.2955108485</v>
      </c>
      <c r="T128" s="1038"/>
      <c r="U128" s="1039">
        <f>SUM(Q70:Q86,S118,S120)</f>
        <v>0</v>
      </c>
      <c r="V128" s="1040"/>
    </row>
    <row r="129" spans="1:22" ht="13.5" hidden="1" thickBot="1">
      <c r="A129" s="1018" t="s">
        <v>400</v>
      </c>
      <c r="B129" s="877"/>
      <c r="C129" s="878"/>
      <c r="D129" s="879"/>
      <c r="E129" s="880"/>
      <c r="F129" s="881"/>
      <c r="G129" s="877"/>
      <c r="H129" s="994">
        <f>'3.Contribution Split'!D126-'4.Contributions'!H128</f>
        <v>26099284.38178529</v>
      </c>
      <c r="I129" s="877"/>
      <c r="J129" s="882"/>
      <c r="K129" s="986"/>
      <c r="L129" s="994">
        <f>'3.Contribution Split'!G126-'4.Contributions'!L128</f>
        <v>10690326.362297494</v>
      </c>
      <c r="M129" s="989"/>
      <c r="N129" s="994">
        <f>'3.Contribution Split'!J126-N128</f>
        <v>11405926.325557305</v>
      </c>
      <c r="O129" s="989"/>
      <c r="P129" s="991"/>
      <c r="Q129" s="994">
        <f>'3.Contribution Split'!P126-Q128</f>
        <v>3453533.8683047574</v>
      </c>
      <c r="R129" s="989"/>
      <c r="S129" s="994">
        <f>'3.Contribution Split'!S126-S128</f>
        <v>-48065.29551084852</v>
      </c>
      <c r="T129" s="989"/>
      <c r="U129" s="1002">
        <f>'3.Contribution Split'!M126-U128</f>
        <v>0</v>
      </c>
      <c r="V129" s="1019"/>
    </row>
    <row r="130" spans="1:58" s="742" customFormat="1" ht="16.5" thickBot="1">
      <c r="A130" s="737" t="s">
        <v>347</v>
      </c>
      <c r="B130" s="738"/>
      <c r="C130" s="739"/>
      <c r="D130" s="740"/>
      <c r="E130" s="738"/>
      <c r="F130" s="741"/>
      <c r="G130" s="741"/>
      <c r="H130" s="741"/>
      <c r="I130" s="741"/>
      <c r="J130" s="741"/>
      <c r="K130" s="984"/>
      <c r="L130" s="985"/>
      <c r="M130" s="987"/>
      <c r="N130" s="984"/>
      <c r="O130" s="987"/>
      <c r="P130" s="987"/>
      <c r="Q130" s="987"/>
      <c r="R130" s="987"/>
      <c r="S130" s="987"/>
      <c r="T130" s="987"/>
      <c r="U130" s="987"/>
      <c r="V130" s="102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s="70" customFormat="1" ht="15" customHeight="1">
      <c r="A131" s="690" t="s">
        <v>274</v>
      </c>
      <c r="B131" s="711" t="s">
        <v>336</v>
      </c>
      <c r="C131" s="712" t="s">
        <v>334</v>
      </c>
      <c r="D131" s="713"/>
      <c r="E131" s="714"/>
      <c r="F131" s="715" t="s">
        <v>348</v>
      </c>
      <c r="G131" s="716"/>
      <c r="H131" s="717"/>
      <c r="I131" s="718"/>
      <c r="J131" s="715"/>
      <c r="K131" s="695"/>
      <c r="L131" s="696"/>
      <c r="M131" s="697"/>
      <c r="N131" s="700"/>
      <c r="O131" s="697"/>
      <c r="P131" s="701"/>
      <c r="Q131" s="701">
        <v>1500000</v>
      </c>
      <c r="R131" s="697"/>
      <c r="S131" s="715"/>
      <c r="T131" s="719">
        <v>1500000</v>
      </c>
      <c r="U131" s="702"/>
      <c r="V131" s="720" t="s">
        <v>349</v>
      </c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s="70" customFormat="1" ht="15" customHeight="1">
      <c r="A132" s="691" t="s">
        <v>332</v>
      </c>
      <c r="B132" s="692" t="s">
        <v>333</v>
      </c>
      <c r="C132" s="686" t="s">
        <v>335</v>
      </c>
      <c r="D132" s="687"/>
      <c r="E132" s="688"/>
      <c r="F132" s="689" t="s">
        <v>348</v>
      </c>
      <c r="G132" s="689"/>
      <c r="H132" s="693"/>
      <c r="I132" s="694"/>
      <c r="J132" s="689"/>
      <c r="K132" s="703"/>
      <c r="L132" s="704"/>
      <c r="M132" s="705"/>
      <c r="N132" s="706"/>
      <c r="O132" s="705"/>
      <c r="P132" s="707"/>
      <c r="Q132" s="707">
        <v>1000000</v>
      </c>
      <c r="R132" s="705"/>
      <c r="S132" s="689"/>
      <c r="T132" s="709">
        <v>1000000</v>
      </c>
      <c r="U132" s="708"/>
      <c r="V132" s="721" t="s">
        <v>350</v>
      </c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22" s="70" customFormat="1" ht="15" customHeight="1">
      <c r="A133" s="691"/>
      <c r="B133" s="692" t="s">
        <v>336</v>
      </c>
      <c r="C133" s="686" t="s">
        <v>335</v>
      </c>
      <c r="D133" s="687"/>
      <c r="E133" s="688"/>
      <c r="F133" s="689" t="s">
        <v>348</v>
      </c>
      <c r="G133" s="689"/>
      <c r="H133" s="693"/>
      <c r="I133" s="694"/>
      <c r="J133" s="689"/>
      <c r="K133" s="703"/>
      <c r="L133" s="704"/>
      <c r="M133" s="705"/>
      <c r="N133" s="706"/>
      <c r="O133" s="705"/>
      <c r="P133" s="707"/>
      <c r="Q133" s="707">
        <v>500000</v>
      </c>
      <c r="R133" s="705"/>
      <c r="S133" s="689"/>
      <c r="T133" s="709">
        <v>500000</v>
      </c>
      <c r="U133" s="708"/>
      <c r="V133" s="721" t="s">
        <v>351</v>
      </c>
    </row>
    <row r="134" spans="1:22" s="70" customFormat="1" ht="15" customHeight="1">
      <c r="A134" s="691" t="s">
        <v>337</v>
      </c>
      <c r="B134" s="692" t="s">
        <v>333</v>
      </c>
      <c r="C134" s="686" t="s">
        <v>338</v>
      </c>
      <c r="D134" s="687"/>
      <c r="E134" s="688"/>
      <c r="F134" s="689" t="s">
        <v>348</v>
      </c>
      <c r="G134" s="689"/>
      <c r="H134" s="693"/>
      <c r="I134" s="694"/>
      <c r="J134" s="689"/>
      <c r="K134" s="703"/>
      <c r="L134" s="704"/>
      <c r="M134" s="705"/>
      <c r="N134" s="706"/>
      <c r="O134" s="705"/>
      <c r="P134" s="707"/>
      <c r="Q134" s="707">
        <v>7500000</v>
      </c>
      <c r="R134" s="705"/>
      <c r="S134" s="689"/>
      <c r="T134" s="709">
        <v>7500000</v>
      </c>
      <c r="U134" s="708"/>
      <c r="V134" s="721" t="s">
        <v>352</v>
      </c>
    </row>
    <row r="135" spans="1:22" s="70" customFormat="1" ht="15" customHeight="1" thickBot="1">
      <c r="A135" s="710"/>
      <c r="B135" s="722" t="s">
        <v>333</v>
      </c>
      <c r="C135" s="723" t="s">
        <v>339</v>
      </c>
      <c r="D135" s="724"/>
      <c r="E135" s="725"/>
      <c r="F135" s="685" t="s">
        <v>348</v>
      </c>
      <c r="G135" s="726"/>
      <c r="H135" s="664"/>
      <c r="I135" s="727"/>
      <c r="J135" s="726"/>
      <c r="K135" s="728"/>
      <c r="L135" s="729"/>
      <c r="M135" s="730"/>
      <c r="N135" s="731"/>
      <c r="O135" s="730"/>
      <c r="P135" s="732"/>
      <c r="Q135" s="732">
        <v>5400000</v>
      </c>
      <c r="R135" s="730"/>
      <c r="S135" s="726"/>
      <c r="T135" s="734">
        <v>5400000</v>
      </c>
      <c r="U135" s="733"/>
      <c r="V135" s="735"/>
    </row>
    <row r="136" spans="1:22" ht="15" customHeight="1" thickBot="1">
      <c r="A136" s="627" t="s">
        <v>342</v>
      </c>
      <c r="B136" s="556"/>
      <c r="C136" s="572"/>
      <c r="D136" s="588"/>
      <c r="E136" s="508"/>
      <c r="F136" s="489"/>
      <c r="G136" s="491"/>
      <c r="H136" s="491">
        <v>0</v>
      </c>
      <c r="I136" s="511"/>
      <c r="J136" s="874"/>
      <c r="K136" s="556"/>
      <c r="L136" s="572"/>
      <c r="M136" s="488"/>
      <c r="N136" s="508"/>
      <c r="O136" s="509"/>
      <c r="P136" s="491"/>
      <c r="Q136" s="491">
        <f>SUM(Q131:Q135)</f>
        <v>15900000</v>
      </c>
      <c r="R136" s="949"/>
      <c r="S136" s="472"/>
      <c r="T136" s="532">
        <f>SUM(T131:T135)</f>
        <v>15900000</v>
      </c>
      <c r="U136" s="775"/>
      <c r="V136" s="670"/>
    </row>
    <row r="137" ht="12.75">
      <c r="H137"/>
    </row>
    <row r="138" ht="12.75">
      <c r="H138"/>
    </row>
    <row r="139" ht="12.75">
      <c r="H139" s="870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</sheetData>
  <mergeCells count="1">
    <mergeCell ref="K126:L126"/>
  </mergeCells>
  <printOptions/>
  <pageMargins left="1.29" right="0.37" top="0.63" bottom="0.54" header="0.5" footer="0.36"/>
  <pageSetup fitToHeight="3" horizontalDpi="600" verticalDpi="600" orientation="landscape" paperSize="8" scale="49" r:id="rId4"/>
  <headerFooter alignWithMargins="0">
    <oddFooter>&amp;Lcopyright Turner &amp; Townsend Project Management Ltd&amp;C&amp;P&amp;R&amp;Z&amp;F</oddFooter>
  </headerFooter>
  <rowBreaks count="1" manualBreakCount="1">
    <brk id="88" max="19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2.140625" style="0" customWidth="1"/>
    <col min="4" max="4" width="11.28125" style="0" bestFit="1" customWidth="1"/>
  </cols>
  <sheetData>
    <row r="1" ht="13.5" thickBot="1"/>
    <row r="2" spans="1:4" ht="18" customHeight="1">
      <c r="A2" s="1107" t="s">
        <v>0</v>
      </c>
      <c r="B2" s="1108"/>
      <c r="C2" s="1108"/>
      <c r="D2" s="1109"/>
    </row>
    <row r="3" spans="1:4" ht="18" customHeight="1">
      <c r="A3" s="806" t="s">
        <v>7</v>
      </c>
      <c r="B3" s="807" t="s">
        <v>371</v>
      </c>
      <c r="C3" s="808"/>
      <c r="D3" s="809" t="s">
        <v>372</v>
      </c>
    </row>
    <row r="4" spans="1:4" ht="18" customHeight="1">
      <c r="A4" s="805" t="s">
        <v>23</v>
      </c>
      <c r="B4" s="799">
        <v>600</v>
      </c>
      <c r="C4" s="799"/>
      <c r="D4" s="800"/>
    </row>
    <row r="5" spans="1:4" ht="18" customHeight="1">
      <c r="A5" s="169" t="s">
        <v>25</v>
      </c>
      <c r="B5" s="793">
        <v>121</v>
      </c>
      <c r="C5" s="793"/>
      <c r="D5" s="794"/>
    </row>
    <row r="6" spans="1:4" ht="18" customHeight="1">
      <c r="A6" s="169" t="s">
        <v>26</v>
      </c>
      <c r="B6" s="793">
        <v>1657</v>
      </c>
      <c r="C6" s="793"/>
      <c r="D6" s="794"/>
    </row>
    <row r="7" spans="1:4" ht="18" customHeight="1">
      <c r="A7" s="169" t="s">
        <v>27</v>
      </c>
      <c r="B7" s="793">
        <v>1214</v>
      </c>
      <c r="C7" s="793"/>
      <c r="D7" s="794"/>
    </row>
    <row r="8" spans="1:4" ht="18" customHeight="1">
      <c r="A8" s="169" t="s">
        <v>30</v>
      </c>
      <c r="B8" s="793">
        <v>150</v>
      </c>
      <c r="C8" s="793"/>
      <c r="D8" s="794"/>
    </row>
    <row r="9" spans="1:4" ht="18" customHeight="1" thickBot="1">
      <c r="A9" s="801"/>
      <c r="B9" s="802">
        <f>SUM(B4:B8)</f>
        <v>3742</v>
      </c>
      <c r="C9" s="803"/>
      <c r="D9" s="804">
        <f>B9*$B$46</f>
        <v>8606600</v>
      </c>
    </row>
    <row r="10" spans="1:4" ht="18" customHeight="1">
      <c r="A10" s="1110" t="s">
        <v>1</v>
      </c>
      <c r="B10" s="1111"/>
      <c r="C10" s="1111"/>
      <c r="D10" s="1112"/>
    </row>
    <row r="11" spans="1:4" ht="18" customHeight="1">
      <c r="A11" s="169" t="s">
        <v>40</v>
      </c>
      <c r="B11" s="793">
        <v>2100</v>
      </c>
      <c r="C11" s="793"/>
      <c r="D11" s="794"/>
    </row>
    <row r="12" spans="1:4" ht="18" customHeight="1">
      <c r="A12" s="169" t="s">
        <v>41</v>
      </c>
      <c r="B12" s="793">
        <v>1500</v>
      </c>
      <c r="C12" s="793"/>
      <c r="D12" s="794"/>
    </row>
    <row r="13" spans="1:4" ht="18" customHeight="1">
      <c r="A13" s="169" t="s">
        <v>42</v>
      </c>
      <c r="B13" s="793">
        <v>410</v>
      </c>
      <c r="C13" s="793"/>
      <c r="D13" s="794"/>
    </row>
    <row r="14" spans="1:4" ht="18" customHeight="1">
      <c r="A14" s="169" t="s">
        <v>43</v>
      </c>
      <c r="B14" s="793">
        <v>829</v>
      </c>
      <c r="C14" s="793"/>
      <c r="D14" s="794"/>
    </row>
    <row r="15" spans="1:4" ht="18" customHeight="1" thickBot="1">
      <c r="A15" s="801"/>
      <c r="B15" s="802">
        <f>SUM(B11:B14)</f>
        <v>4839</v>
      </c>
      <c r="C15" s="803"/>
      <c r="D15" s="804">
        <f>B15*$B$46</f>
        <v>11129700</v>
      </c>
    </row>
    <row r="16" spans="1:4" ht="18" customHeight="1">
      <c r="A16" s="1110" t="s">
        <v>102</v>
      </c>
      <c r="B16" s="1111"/>
      <c r="C16" s="1111"/>
      <c r="D16" s="1112"/>
    </row>
    <row r="17" spans="1:4" ht="18" customHeight="1">
      <c r="A17" s="169" t="s">
        <v>366</v>
      </c>
      <c r="B17" s="793">
        <v>252</v>
      </c>
      <c r="C17" s="793"/>
      <c r="D17" s="794"/>
    </row>
    <row r="18" spans="1:4" ht="18" customHeight="1">
      <c r="A18" s="169" t="s">
        <v>64</v>
      </c>
      <c r="B18" s="793">
        <v>245</v>
      </c>
      <c r="C18" s="793"/>
      <c r="D18" s="794"/>
    </row>
    <row r="19" spans="1:4" ht="18" customHeight="1">
      <c r="A19" s="169" t="s">
        <v>65</v>
      </c>
      <c r="B19" s="793">
        <v>245</v>
      </c>
      <c r="C19" s="793"/>
      <c r="D19" s="794"/>
    </row>
    <row r="20" spans="1:4" ht="18" customHeight="1">
      <c r="A20" s="169" t="s">
        <v>66</v>
      </c>
      <c r="B20" s="793">
        <v>150</v>
      </c>
      <c r="C20" s="793"/>
      <c r="D20" s="794"/>
    </row>
    <row r="21" spans="1:4" ht="18" customHeight="1">
      <c r="A21" s="169" t="s">
        <v>67</v>
      </c>
      <c r="B21" s="793">
        <v>237</v>
      </c>
      <c r="C21" s="793"/>
      <c r="D21" s="794"/>
    </row>
    <row r="22" spans="1:4" ht="18" customHeight="1">
      <c r="A22" s="169" t="s">
        <v>68</v>
      </c>
      <c r="B22" s="793">
        <v>75</v>
      </c>
      <c r="C22" s="793"/>
      <c r="D22" s="794"/>
    </row>
    <row r="23" spans="1:4" ht="18" customHeight="1">
      <c r="A23" s="169" t="s">
        <v>250</v>
      </c>
      <c r="B23" s="793">
        <v>44</v>
      </c>
      <c r="C23" s="793"/>
      <c r="D23" s="794"/>
    </row>
    <row r="24" spans="1:4" ht="18" customHeight="1">
      <c r="A24" s="169" t="s">
        <v>270</v>
      </c>
      <c r="B24" s="793">
        <v>214</v>
      </c>
      <c r="C24" s="793"/>
      <c r="D24" s="794"/>
    </row>
    <row r="25" spans="1:4" ht="18" customHeight="1">
      <c r="A25" s="169" t="s">
        <v>24</v>
      </c>
      <c r="B25" s="793">
        <v>160</v>
      </c>
      <c r="C25" s="793"/>
      <c r="D25" s="794"/>
    </row>
    <row r="26" spans="1:4" ht="18" customHeight="1">
      <c r="A26" s="169" t="s">
        <v>28</v>
      </c>
      <c r="B26" s="793">
        <v>300</v>
      </c>
      <c r="C26" s="793"/>
      <c r="D26" s="794"/>
    </row>
    <row r="27" spans="1:4" ht="18" customHeight="1">
      <c r="A27" s="169" t="s">
        <v>29</v>
      </c>
      <c r="B27" s="793">
        <v>677</v>
      </c>
      <c r="C27" s="793"/>
      <c r="D27" s="794"/>
    </row>
    <row r="28" spans="1:4" ht="18" customHeight="1">
      <c r="A28" s="169" t="s">
        <v>44</v>
      </c>
      <c r="B28" s="793">
        <v>276</v>
      </c>
      <c r="C28" s="793"/>
      <c r="D28" s="794"/>
    </row>
    <row r="29" spans="1:4" ht="18" customHeight="1">
      <c r="A29" s="169" t="s">
        <v>45</v>
      </c>
      <c r="B29" s="793">
        <v>4</v>
      </c>
      <c r="C29" s="793"/>
      <c r="D29" s="794"/>
    </row>
    <row r="30" spans="1:4" ht="18" customHeight="1">
      <c r="A30" s="169" t="s">
        <v>46</v>
      </c>
      <c r="B30" s="793">
        <v>17</v>
      </c>
      <c r="C30" s="793"/>
      <c r="D30" s="794"/>
    </row>
    <row r="31" spans="1:4" ht="18" customHeight="1">
      <c r="A31" s="169" t="s">
        <v>47</v>
      </c>
      <c r="B31" s="793">
        <v>22</v>
      </c>
      <c r="C31" s="793"/>
      <c r="D31" s="794"/>
    </row>
    <row r="32" spans="1:4" ht="18" customHeight="1">
      <c r="A32" s="169" t="s">
        <v>48</v>
      </c>
      <c r="B32" s="793">
        <v>11</v>
      </c>
      <c r="C32" s="793"/>
      <c r="D32" s="794"/>
    </row>
    <row r="33" spans="1:4" ht="18" customHeight="1">
      <c r="A33" s="169" t="s">
        <v>49</v>
      </c>
      <c r="B33" s="793">
        <v>20</v>
      </c>
      <c r="C33" s="793"/>
      <c r="D33" s="794"/>
    </row>
    <row r="34" spans="1:4" ht="18" customHeight="1">
      <c r="A34" s="169" t="s">
        <v>50</v>
      </c>
      <c r="B34" s="793">
        <v>15</v>
      </c>
      <c r="C34" s="793"/>
      <c r="D34" s="794"/>
    </row>
    <row r="35" spans="1:4" ht="18" customHeight="1">
      <c r="A35" s="169" t="s">
        <v>51</v>
      </c>
      <c r="B35" s="793">
        <v>125</v>
      </c>
      <c r="C35" s="793"/>
      <c r="D35" s="794"/>
    </row>
    <row r="36" spans="1:4" ht="18" customHeight="1" thickBot="1">
      <c r="A36" s="792"/>
      <c r="B36" s="795">
        <f>SUM(B17:B35)</f>
        <v>3089</v>
      </c>
      <c r="C36" s="810"/>
      <c r="D36" s="811">
        <f>B36*$B$46</f>
        <v>7104700</v>
      </c>
    </row>
    <row r="37" spans="1:4" ht="18" customHeight="1">
      <c r="A37" s="1107" t="s">
        <v>2</v>
      </c>
      <c r="B37" s="1108"/>
      <c r="C37" s="1108"/>
      <c r="D37" s="1109"/>
    </row>
    <row r="38" spans="1:4" ht="18" customHeight="1">
      <c r="A38" s="169" t="s">
        <v>71</v>
      </c>
      <c r="B38" s="793">
        <v>2550</v>
      </c>
      <c r="C38" s="793"/>
      <c r="D38" s="794"/>
    </row>
    <row r="39" spans="1:4" ht="18" customHeight="1">
      <c r="A39" s="169" t="s">
        <v>72</v>
      </c>
      <c r="B39" s="793">
        <v>1950</v>
      </c>
      <c r="C39" s="793"/>
      <c r="D39" s="794"/>
    </row>
    <row r="40" spans="1:4" ht="18" customHeight="1" thickBot="1">
      <c r="A40" s="801"/>
      <c r="B40" s="802">
        <f>SUM(B38:B39)</f>
        <v>4500</v>
      </c>
      <c r="C40" s="803"/>
      <c r="D40" s="804">
        <f>B40*$B$46</f>
        <v>10350000</v>
      </c>
    </row>
    <row r="41" spans="1:4" ht="18" customHeight="1">
      <c r="A41" s="1107" t="s">
        <v>14</v>
      </c>
      <c r="B41" s="1108"/>
      <c r="C41" s="1108"/>
      <c r="D41" s="1109"/>
    </row>
    <row r="42" spans="1:4" ht="18" customHeight="1">
      <c r="A42" s="169" t="s">
        <v>148</v>
      </c>
      <c r="B42" s="793">
        <v>1950</v>
      </c>
      <c r="C42" s="793"/>
      <c r="D42" s="794"/>
    </row>
    <row r="43" spans="1:4" ht="18" customHeight="1" thickBot="1">
      <c r="A43" s="801"/>
      <c r="B43" s="802">
        <f>SUM(B42)</f>
        <v>1950</v>
      </c>
      <c r="C43" s="803"/>
      <c r="D43" s="804">
        <f>B43*$B$46</f>
        <v>4485000</v>
      </c>
    </row>
    <row r="44" spans="1:4" ht="13.5">
      <c r="A44" s="1107" t="s">
        <v>368</v>
      </c>
      <c r="B44" s="1108"/>
      <c r="C44" s="1108"/>
      <c r="D44" s="1109"/>
    </row>
    <row r="45" spans="1:4" ht="18" customHeight="1">
      <c r="A45" s="796" t="s">
        <v>367</v>
      </c>
      <c r="B45" s="797">
        <f>SUM(B9,B15,B36,B40,B43)</f>
        <v>18120</v>
      </c>
      <c r="C45" s="793"/>
      <c r="D45" s="794"/>
    </row>
    <row r="46" spans="1:4" ht="18" customHeight="1">
      <c r="A46" s="796" t="s">
        <v>369</v>
      </c>
      <c r="B46" s="798">
        <v>2300</v>
      </c>
      <c r="C46" s="793"/>
      <c r="D46" s="794"/>
    </row>
    <row r="47" spans="1:4" ht="18" customHeight="1" thickBot="1">
      <c r="A47" s="812" t="s">
        <v>370</v>
      </c>
      <c r="B47" s="813">
        <f>B45*B46</f>
        <v>41676000</v>
      </c>
      <c r="C47" s="803"/>
      <c r="D47" s="804">
        <f>SUM(D9,D15,D36,D40,D43)</f>
        <v>41676000</v>
      </c>
    </row>
  </sheetData>
  <mergeCells count="6">
    <mergeCell ref="A41:D41"/>
    <mergeCell ref="A44:D44"/>
    <mergeCell ref="A2:D2"/>
    <mergeCell ref="A10:D10"/>
    <mergeCell ref="A16:D16"/>
    <mergeCell ref="A37:D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Turner &amp; Townsend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Turner &amp; Townsend</dc:creator>
  <cp:keywords/>
  <dc:description/>
  <cp:lastModifiedBy>alclink</cp:lastModifiedBy>
  <cp:lastPrinted>2007-03-07T15:14:46Z</cp:lastPrinted>
  <dcterms:created xsi:type="dcterms:W3CDTF">2005-01-06T16:56:14Z</dcterms:created>
  <dcterms:modified xsi:type="dcterms:W3CDTF">2007-03-14T10:33:10Z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-276664269</vt:i4>
  </property>
  <property fmtid="{D5CDD505-2E9C-101B-9397-08002B2CF9AE}" pid="3" name="_EmailSubject">
    <vt:lpwstr>A96 WEB PAGE</vt:lpwstr>
  </property>
  <property fmtid="{D5CDD505-2E9C-101B-9397-08002B2CF9AE}" pid="4" name="_AuthorEmail">
    <vt:lpwstr>Mike.Greaves@highland.gov.uk</vt:lpwstr>
  </property>
  <property fmtid="{D5CDD505-2E9C-101B-9397-08002B2CF9AE}" pid="5" name="_AuthorEmailDisplayName">
    <vt:lpwstr>Mike Greaves</vt:lpwstr>
  </property>
  <property fmtid="{D5CDD505-2E9C-101B-9397-08002B2CF9AE}" pid="6" name="_ReviewingToolsShownOnce">
    <vt:lpwstr/>
  </property>
</Properties>
</file>