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0" windowWidth="14360" windowHeight="80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119" i="1" l="1"/>
  <c r="H119" i="1"/>
  <c r="I119" i="1"/>
  <c r="J119" i="1"/>
  <c r="K119" i="1"/>
  <c r="M119" i="1"/>
  <c r="N119" i="1"/>
  <c r="O119" i="1"/>
  <c r="P119" i="1"/>
  <c r="Q119" i="1"/>
  <c r="R119" i="1"/>
  <c r="F119" i="1"/>
  <c r="C52" i="1"/>
  <c r="B52" i="1"/>
  <c r="H51" i="1"/>
  <c r="G51" i="1"/>
  <c r="F51" i="1"/>
  <c r="E51" i="1"/>
  <c r="D51" i="1"/>
  <c r="H50" i="1"/>
  <c r="G50" i="1"/>
  <c r="F50" i="1"/>
  <c r="F52" i="1" s="1"/>
  <c r="E50" i="1"/>
  <c r="E52" i="1" s="1"/>
  <c r="K26" i="1" s="1"/>
  <c r="D50" i="1"/>
  <c r="N45" i="1"/>
  <c r="M45" i="1"/>
  <c r="L45" i="1"/>
  <c r="K45" i="1"/>
  <c r="J45" i="1"/>
  <c r="I45" i="1"/>
  <c r="H45" i="1"/>
  <c r="G45" i="1"/>
  <c r="F45" i="1"/>
  <c r="E45" i="1"/>
  <c r="D45" i="1"/>
  <c r="O44" i="1"/>
  <c r="O46" i="1" s="1"/>
  <c r="N44" i="1"/>
  <c r="N46" i="1" s="1"/>
  <c r="M44" i="1"/>
  <c r="M46" i="1" s="1"/>
  <c r="L44" i="1"/>
  <c r="L46" i="1" s="1"/>
  <c r="N34" i="1" s="1"/>
  <c r="K44" i="1"/>
  <c r="K46" i="1" s="1"/>
  <c r="J44" i="1"/>
  <c r="J46" i="1" s="1"/>
  <c r="I44" i="1"/>
  <c r="I46" i="1" s="1"/>
  <c r="H44" i="1"/>
  <c r="H46" i="1" s="1"/>
  <c r="G35" i="1" s="1"/>
  <c r="G44" i="1"/>
  <c r="G46" i="1" s="1"/>
  <c r="F44" i="1"/>
  <c r="F46" i="1" s="1"/>
  <c r="G34" i="1" s="1"/>
  <c r="E44" i="1"/>
  <c r="E46" i="1" s="1"/>
  <c r="G28" i="1" s="1"/>
  <c r="D44" i="1"/>
  <c r="D46" i="1" s="1"/>
  <c r="F34" i="1" s="1"/>
  <c r="C44" i="1"/>
  <c r="C46" i="1" s="1"/>
  <c r="G27" i="1" s="1"/>
  <c r="O43" i="1"/>
  <c r="O45" i="1" s="1"/>
  <c r="C43" i="1"/>
  <c r="C45" i="1" s="1"/>
  <c r="B43" i="1"/>
  <c r="T37" i="1"/>
  <c r="U33" i="1"/>
  <c r="U37" i="1" s="1"/>
  <c r="T33" i="1"/>
  <c r="S33" i="1"/>
  <c r="S37" i="1" s="1"/>
  <c r="S119" i="1" s="1"/>
  <c r="Q33" i="1"/>
  <c r="U29" i="1"/>
  <c r="T29" i="1"/>
  <c r="S29" i="1"/>
  <c r="H29" i="1"/>
  <c r="U28" i="1"/>
  <c r="T28" i="1"/>
  <c r="S28" i="1"/>
  <c r="U27" i="1"/>
  <c r="T27" i="1"/>
  <c r="S27" i="1"/>
  <c r="Q27" i="1"/>
  <c r="D27" i="1"/>
  <c r="U26" i="1"/>
  <c r="T26" i="1"/>
  <c r="S26" i="1"/>
  <c r="S30" i="1" s="1"/>
  <c r="G26" i="1"/>
  <c r="F26" i="1"/>
  <c r="B26" i="1"/>
  <c r="C17" i="1"/>
  <c r="V16" i="1"/>
  <c r="N15" i="1"/>
  <c r="M15" i="1"/>
  <c r="M17" i="1" s="1"/>
  <c r="M19" i="1" s="1"/>
  <c r="H15" i="1"/>
  <c r="H35" i="1" s="1"/>
  <c r="Q14" i="1"/>
  <c r="Q34" i="1" s="1"/>
  <c r="N14" i="1"/>
  <c r="L14" i="1"/>
  <c r="K14" i="1"/>
  <c r="I14" i="1"/>
  <c r="U13" i="1"/>
  <c r="U17" i="1" s="1"/>
  <c r="T13" i="1"/>
  <c r="T17" i="1" s="1"/>
  <c r="S13" i="1"/>
  <c r="S17" i="1" s="1"/>
  <c r="S19" i="1" s="1"/>
  <c r="R13" i="1"/>
  <c r="Q13" i="1"/>
  <c r="Q17" i="1" s="1"/>
  <c r="P13" i="1"/>
  <c r="N13" i="1"/>
  <c r="N17" i="1" s="1"/>
  <c r="M13" i="1"/>
  <c r="L13" i="1"/>
  <c r="K13" i="1"/>
  <c r="K33" i="1" s="1"/>
  <c r="J13" i="1"/>
  <c r="J33" i="1" s="1"/>
  <c r="H13" i="1"/>
  <c r="G13" i="1"/>
  <c r="G33" i="1" s="1"/>
  <c r="F13" i="1"/>
  <c r="F17" i="1" s="1"/>
  <c r="F19" i="1" s="1"/>
  <c r="B13" i="1"/>
  <c r="P10" i="1"/>
  <c r="M10" i="1"/>
  <c r="J10" i="1"/>
  <c r="H10" i="1"/>
  <c r="G10" i="1"/>
  <c r="F10" i="1"/>
  <c r="U9" i="1"/>
  <c r="T9" i="1"/>
  <c r="O9" i="1"/>
  <c r="I9" i="1"/>
  <c r="I15" i="1" s="1"/>
  <c r="U8" i="1"/>
  <c r="T8" i="1"/>
  <c r="Q8" i="1"/>
  <c r="N8" i="1"/>
  <c r="L8" i="1"/>
  <c r="K8" i="1"/>
  <c r="I8" i="1"/>
  <c r="E8" i="1"/>
  <c r="E28" i="1" s="1"/>
  <c r="D8" i="1"/>
  <c r="U7" i="1"/>
  <c r="T7" i="1"/>
  <c r="R7" i="1"/>
  <c r="Q7" i="1"/>
  <c r="N7" i="1"/>
  <c r="L7" i="1"/>
  <c r="K7" i="1"/>
  <c r="U6" i="1"/>
  <c r="U10" i="1" s="1"/>
  <c r="U11" i="1" s="1"/>
  <c r="T6" i="1"/>
  <c r="S6" i="1"/>
  <c r="S10" i="1" s="1"/>
  <c r="I6" i="1"/>
  <c r="I10" i="1" s="1"/>
  <c r="U19" i="1" l="1"/>
  <c r="U30" i="1"/>
  <c r="U119" i="1" s="1"/>
  <c r="N28" i="1"/>
  <c r="G37" i="1"/>
  <c r="M33" i="1"/>
  <c r="F28" i="1"/>
  <c r="D52" i="1"/>
  <c r="H26" i="1" s="1"/>
  <c r="H52" i="1"/>
  <c r="Q30" i="1"/>
  <c r="N10" i="1"/>
  <c r="N19" i="1" s="1"/>
  <c r="P33" i="1"/>
  <c r="T10" i="1"/>
  <c r="T11" i="1" s="1"/>
  <c r="N27" i="1"/>
  <c r="H17" i="1"/>
  <c r="H19" i="1" s="1"/>
  <c r="L17" i="1"/>
  <c r="T30" i="1"/>
  <c r="T31" i="1" s="1"/>
  <c r="Q10" i="1"/>
  <c r="Q19" i="1" s="1"/>
  <c r="L28" i="1"/>
  <c r="I13" i="1"/>
  <c r="Q28" i="1"/>
  <c r="G52" i="1"/>
  <c r="N26" i="1" s="1"/>
  <c r="N30" i="1" s="1"/>
  <c r="K34" i="1"/>
  <c r="K37" i="1" s="1"/>
  <c r="J27" i="1"/>
  <c r="I29" i="1"/>
  <c r="K28" i="1"/>
  <c r="I27" i="1"/>
  <c r="L35" i="1"/>
  <c r="K36" i="1"/>
  <c r="J34" i="1"/>
  <c r="J37" i="1" s="1"/>
  <c r="R29" i="1"/>
  <c r="R26" i="1"/>
  <c r="R35" i="1"/>
  <c r="P35" i="1"/>
  <c r="P27" i="1"/>
  <c r="P34" i="1"/>
  <c r="V7" i="1"/>
  <c r="K10" i="1"/>
  <c r="I35" i="1"/>
  <c r="L34" i="1"/>
  <c r="P26" i="1"/>
  <c r="J28" i="1"/>
  <c r="H33" i="1"/>
  <c r="J26" i="1"/>
  <c r="L26" i="1"/>
  <c r="L27" i="1"/>
  <c r="I28" i="1"/>
  <c r="O29" i="1"/>
  <c r="O30" i="1" s="1"/>
  <c r="O15" i="1"/>
  <c r="V15" i="1" s="1"/>
  <c r="O10" i="1"/>
  <c r="B33" i="1"/>
  <c r="B17" i="1"/>
  <c r="I33" i="1"/>
  <c r="R33" i="1"/>
  <c r="V13" i="1"/>
  <c r="P28" i="1"/>
  <c r="L33" i="1"/>
  <c r="M34" i="1"/>
  <c r="M37" i="1" s="1"/>
  <c r="M29" i="1"/>
  <c r="M26" i="1"/>
  <c r="D28" i="1"/>
  <c r="D14" i="1"/>
  <c r="F29" i="1"/>
  <c r="F35" i="1"/>
  <c r="R27" i="1"/>
  <c r="I34" i="1"/>
  <c r="I17" i="1"/>
  <c r="I19" i="1" s="1"/>
  <c r="G30" i="1"/>
  <c r="K27" i="1"/>
  <c r="P29" i="1"/>
  <c r="Q37" i="1"/>
  <c r="H36" i="1"/>
  <c r="H34" i="1"/>
  <c r="H28" i="1"/>
  <c r="H27" i="1"/>
  <c r="J17" i="1"/>
  <c r="J19" i="1" s="1"/>
  <c r="V8" i="1"/>
  <c r="L10" i="1"/>
  <c r="E14" i="1"/>
  <c r="G17" i="1"/>
  <c r="G19" i="1" s="1"/>
  <c r="K17" i="1"/>
  <c r="I26" i="1"/>
  <c r="F33" i="1"/>
  <c r="B45" i="1"/>
  <c r="V6" i="1"/>
  <c r="R8" i="1"/>
  <c r="V9" i="1"/>
  <c r="P17" i="1"/>
  <c r="P19" i="1" s="1"/>
  <c r="B44" i="1"/>
  <c r="B46" i="1" s="1"/>
  <c r="V10" i="1" l="1"/>
  <c r="T119" i="1"/>
  <c r="H30" i="1"/>
  <c r="I30" i="1"/>
  <c r="T19" i="1"/>
  <c r="N33" i="1"/>
  <c r="N37" i="1" s="1"/>
  <c r="K30" i="1"/>
  <c r="P37" i="1"/>
  <c r="L19" i="1"/>
  <c r="K19" i="1"/>
  <c r="V29" i="1"/>
  <c r="L37" i="1"/>
  <c r="L119" i="1" s="1"/>
  <c r="J30" i="1"/>
  <c r="R28" i="1"/>
  <c r="V28" i="1" s="1"/>
  <c r="R10" i="1"/>
  <c r="E34" i="1"/>
  <c r="E17" i="1"/>
  <c r="R14" i="1"/>
  <c r="V26" i="1"/>
  <c r="M30" i="1"/>
  <c r="P30" i="1"/>
  <c r="F27" i="1"/>
  <c r="F36" i="1"/>
  <c r="V36" i="1" s="1"/>
  <c r="D17" i="1"/>
  <c r="D34" i="1"/>
  <c r="I37" i="1"/>
  <c r="O35" i="1"/>
  <c r="O37" i="1" s="1"/>
  <c r="O17" i="1"/>
  <c r="O19" i="1" s="1"/>
  <c r="L30" i="1"/>
  <c r="H37" i="1"/>
  <c r="R30" i="1" l="1"/>
  <c r="F37" i="1"/>
  <c r="V35" i="1"/>
  <c r="V33" i="1"/>
  <c r="R34" i="1"/>
  <c r="V14" i="1"/>
  <c r="V17" i="1" s="1"/>
  <c r="V19" i="1" s="1"/>
  <c r="R17" i="1"/>
  <c r="R19" i="1" s="1"/>
  <c r="V27" i="1"/>
  <c r="V30" i="1" s="1"/>
  <c r="F30" i="1"/>
  <c r="V34" i="1" l="1"/>
  <c r="V37" i="1" s="1"/>
  <c r="V119" i="1" s="1"/>
  <c r="R37" i="1"/>
</calcChain>
</file>

<file path=xl/comments1.xml><?xml version="1.0" encoding="utf-8"?>
<comments xmlns="http://schemas.openxmlformats.org/spreadsheetml/2006/main">
  <authors>
    <author>Author</author>
  </authors>
  <commentList>
    <comment ref="M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Per email from Felix reduce FTE in 3-18 by 10%</t>
        </r>
      </text>
    </comment>
    <comment ref="N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Per email from Felix reduce FTE in 3-18 by 10%</t>
        </r>
      </text>
    </comment>
    <comment ref="R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Based on info provided by Marlene</t>
        </r>
      </text>
    </comment>
    <comment ref="S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Info per Jill for existing &amp; per Sue for Options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applicable to secondaries
</t>
        </r>
      </text>
    </comment>
    <comment ref="N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 post rather than formula entitlement </t>
        </r>
      </text>
    </comment>
    <comment ref="N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 post rather than formula entitlement </t>
        </r>
      </text>
    </comment>
    <comment ref="L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Based on average % of FTE attracting CCR time in schools to be amalgamated x no of FTE (DHT, PT, Main Grade)</t>
        </r>
      </text>
    </comment>
    <comment ref="N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Based on head count 454 pupils </t>
        </r>
      </text>
    </comment>
    <comment ref="Q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Janitor is part of FM model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Per AB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Current HT @ point 10</t>
        </r>
      </text>
    </comment>
    <comment ref="C4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DHT in post currently there are two PT's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Current HT @ point 10</t>
        </r>
      </text>
    </comment>
    <comment ref="E4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Current DHT @ point 5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Based on Management structure at Dingwall Primary scale point 7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Point 4 HT DHT Scale - 1 scale pt less than current HT - is this reasonable?</t>
        </r>
      </text>
    </comment>
    <comment ref="N4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HC02 Scale point 8</t>
        </r>
      </text>
    </comment>
    <comment ref="O4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HC05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Current HT at Tain</t>
        </r>
      </text>
    </comment>
    <comment ref="C4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Current DHT at Tain</t>
        </r>
      </text>
    </comment>
    <comment ref="H4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Top of HC06 scale point 28</t>
        </r>
      </text>
    </comment>
  </commentList>
</comments>
</file>

<file path=xl/sharedStrings.xml><?xml version="1.0" encoding="utf-8"?>
<sst xmlns="http://schemas.openxmlformats.org/spreadsheetml/2006/main" count="144" uniqueCount="66">
  <si>
    <t>FTE ENTITLEMENTS</t>
  </si>
  <si>
    <t>Head Teacher</t>
  </si>
  <si>
    <t>DHT</t>
  </si>
  <si>
    <t>PT</t>
  </si>
  <si>
    <t>Teachers</t>
  </si>
  <si>
    <t>ASN Teachers (secondary)</t>
  </si>
  <si>
    <t>Management Time</t>
  </si>
  <si>
    <t>CCR</t>
  </si>
  <si>
    <t>Admin Assistant</t>
  </si>
  <si>
    <t>Clerical Assistant</t>
  </si>
  <si>
    <t>PSA</t>
  </si>
  <si>
    <t>Technicians</t>
  </si>
  <si>
    <t>Playground Supervisor</t>
  </si>
  <si>
    <t>Early Years Assistant</t>
  </si>
  <si>
    <t>Janitors/FMA</t>
  </si>
  <si>
    <t>Catering</t>
  </si>
  <si>
    <t>Cleaning</t>
  </si>
  <si>
    <t>TOTAL</t>
  </si>
  <si>
    <t>Sec</t>
  </si>
  <si>
    <t>Special</t>
  </si>
  <si>
    <t>Prim</t>
  </si>
  <si>
    <t>Nurs</t>
  </si>
  <si>
    <t>FTE</t>
  </si>
  <si>
    <t>Option 1</t>
  </si>
  <si>
    <t xml:space="preserve">Tain Royal Academy </t>
  </si>
  <si>
    <t>Knockbreck</t>
  </si>
  <si>
    <t>Craighill</t>
  </si>
  <si>
    <t xml:space="preserve">St Duthus </t>
  </si>
  <si>
    <t>Total</t>
  </si>
  <si>
    <t>Option 2</t>
  </si>
  <si>
    <t xml:space="preserve">Tain 3-18 Campus </t>
  </si>
  <si>
    <t>Primary</t>
  </si>
  <si>
    <t>Saving resulting from Declustering of Knockbreck/Inver</t>
  </si>
  <si>
    <t>COSTING OF ABOVE FTE ENTITLEMENTS</t>
  </si>
  <si>
    <t xml:space="preserve">PSA 1 </t>
  </si>
  <si>
    <t>£</t>
  </si>
  <si>
    <t xml:space="preserve">Notes re Costing of Entitlements </t>
  </si>
  <si>
    <t xml:space="preserve">Assumed salaries at top of the scale </t>
  </si>
  <si>
    <t xml:space="preserve">Primary Staffing </t>
  </si>
  <si>
    <t>HT - Knockbreck</t>
  </si>
  <si>
    <t>DHT - Knockbreck</t>
  </si>
  <si>
    <t>HT - Craighill</t>
  </si>
  <si>
    <t>DHT - Criaghill</t>
  </si>
  <si>
    <t>DHT - 403 Pupil Primary</t>
  </si>
  <si>
    <t xml:space="preserve">HT- St Duthus </t>
  </si>
  <si>
    <t>DHT St Duthus</t>
  </si>
  <si>
    <t xml:space="preserve">PT St Duthus </t>
  </si>
  <si>
    <t>Teacher</t>
  </si>
  <si>
    <t>Clerical</t>
  </si>
  <si>
    <t>Playground Supervisors</t>
  </si>
  <si>
    <t xml:space="preserve">Early Years Assistant </t>
  </si>
  <si>
    <t xml:space="preserve">Basic </t>
  </si>
  <si>
    <t xml:space="preserve">Super </t>
  </si>
  <si>
    <t xml:space="preserve">NI </t>
  </si>
  <si>
    <t xml:space="preserve">Secondary Staffing </t>
  </si>
  <si>
    <t>HT</t>
  </si>
  <si>
    <t xml:space="preserve">Admin </t>
  </si>
  <si>
    <t>Lab Technicians</t>
  </si>
  <si>
    <t xml:space="preserve">Notes </t>
  </si>
  <si>
    <t>Info requested from Felix re office set up in 3-18 campus 09.07.14</t>
  </si>
  <si>
    <t xml:space="preserve"> </t>
  </si>
  <si>
    <t>Change in FTE entitlements</t>
  </si>
  <si>
    <t>SCHOOL ROLL  - SEPTEMBER 2013</t>
  </si>
  <si>
    <t>TAIN 3 TO 18 STAFFING IMPLICATIONS</t>
  </si>
  <si>
    <t>Change in staffing budgets</t>
  </si>
  <si>
    <t>APPENDIX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</si>
</sst>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 wrapText="1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/>
    <xf numFmtId="0" fontId="0" fillId="0" borderId="5" xfId="0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0" borderId="6" xfId="0" applyBorder="1"/>
    <xf numFmtId="0" fontId="0" fillId="0" borderId="6" xfId="0" applyBorder="1" applyAlignment="1">
      <alignment horizontal="center" wrapText="1"/>
    </xf>
    <xf numFmtId="2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wrapText="1"/>
    </xf>
    <xf numFmtId="4" fontId="2" fillId="2" borderId="6" xfId="0" applyNumberFormat="1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1" fontId="0" fillId="0" borderId="0" xfId="0" applyNumberFormat="1" applyAlignment="1">
      <alignment horizontal="center" wrapText="1"/>
    </xf>
    <xf numFmtId="4" fontId="0" fillId="0" borderId="0" xfId="0" applyNumberFormat="1"/>
    <xf numFmtId="43" fontId="0" fillId="0" borderId="0" xfId="1" applyFont="1"/>
    <xf numFmtId="4" fontId="0" fillId="0" borderId="0" xfId="0" applyNumberFormat="1" applyAlignment="1">
      <alignment horizontal="center"/>
    </xf>
    <xf numFmtId="43" fontId="0" fillId="0" borderId="0" xfId="0" applyNumberFormat="1"/>
    <xf numFmtId="164" fontId="0" fillId="2" borderId="6" xfId="1" applyNumberFormat="1" applyFont="1" applyFill="1" applyBorder="1"/>
    <xf numFmtId="43" fontId="0" fillId="2" borderId="6" xfId="1" applyFont="1" applyFill="1" applyBorder="1" applyAlignment="1">
      <alignment horizontal="center"/>
    </xf>
    <xf numFmtId="164" fontId="0" fillId="3" borderId="6" xfId="1" applyNumberFormat="1" applyFont="1" applyFill="1" applyBorder="1"/>
    <xf numFmtId="164" fontId="0" fillId="0" borderId="6" xfId="1" applyNumberFormat="1" applyFont="1" applyBorder="1"/>
    <xf numFmtId="164" fontId="2" fillId="2" borderId="6" xfId="1" applyNumberFormat="1" applyFont="1" applyFill="1" applyBorder="1" applyAlignment="1">
      <alignment horizontal="center"/>
    </xf>
    <xf numFmtId="164" fontId="2" fillId="3" borderId="6" xfId="1" applyNumberFormat="1" applyFont="1" applyFill="1" applyBorder="1" applyAlignment="1">
      <alignment horizontal="center"/>
    </xf>
    <xf numFmtId="164" fontId="2" fillId="0" borderId="6" xfId="1" applyNumberFormat="1" applyFont="1" applyBorder="1"/>
    <xf numFmtId="164" fontId="0" fillId="0" borderId="0" xfId="1" applyNumberFormat="1" applyFont="1"/>
    <xf numFmtId="164" fontId="0" fillId="0" borderId="0" xfId="1" applyNumberFormat="1" applyFont="1" applyAlignment="1">
      <alignment horizontal="center" wrapText="1"/>
    </xf>
    <xf numFmtId="0" fontId="5" fillId="0" borderId="0" xfId="0" applyFont="1"/>
    <xf numFmtId="164" fontId="0" fillId="0" borderId="0" xfId="0" applyNumberFormat="1"/>
    <xf numFmtId="0" fontId="2" fillId="4" borderId="7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4" borderId="10" xfId="0" applyFill="1" applyBorder="1"/>
    <xf numFmtId="164" fontId="0" fillId="4" borderId="0" xfId="1" applyNumberFormat="1" applyFont="1" applyFill="1" applyBorder="1"/>
    <xf numFmtId="164" fontId="0" fillId="4" borderId="11" xfId="1" applyNumberFormat="1" applyFont="1" applyFill="1" applyBorder="1"/>
    <xf numFmtId="0" fontId="2" fillId="4" borderId="7" xfId="0" applyFont="1" applyFill="1" applyBorder="1"/>
    <xf numFmtId="164" fontId="2" fillId="4" borderId="8" xfId="1" applyNumberFormat="1" applyFont="1" applyFill="1" applyBorder="1"/>
    <xf numFmtId="164" fontId="2" fillId="4" borderId="9" xfId="1" applyNumberFormat="1" applyFont="1" applyFill="1" applyBorder="1"/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2" fillId="5" borderId="6" xfId="0" applyNumberFormat="1" applyFont="1" applyFill="1" applyBorder="1" applyAlignment="1">
      <alignment horizontal="center"/>
    </xf>
    <xf numFmtId="43" fontId="0" fillId="3" borderId="6" xfId="1" applyFont="1" applyFill="1" applyBorder="1" applyAlignment="1">
      <alignment horizontal="center"/>
    </xf>
    <xf numFmtId="164" fontId="0" fillId="0" borderId="6" xfId="0" applyNumberFormat="1" applyBorder="1"/>
    <xf numFmtId="164" fontId="0" fillId="2" borderId="6" xfId="0" applyNumberFormat="1" applyFill="1" applyBorder="1"/>
    <xf numFmtId="164" fontId="0" fillId="3" borderId="6" xfId="0" applyNumberFormat="1" applyFill="1" applyBorder="1"/>
    <xf numFmtId="164" fontId="2" fillId="5" borderId="6" xfId="1" applyNumberFormat="1" applyFont="1" applyFill="1" applyBorder="1" applyAlignment="1">
      <alignment horizontal="center"/>
    </xf>
    <xf numFmtId="0" fontId="5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m\Documents\COMMITTEE%202014\AUGUST\TAIN%20STATUTORY\FINAN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£m"/>
      <sheetName val="Summary - detailed"/>
      <sheetName val="Staffing"/>
      <sheetName val="Training"/>
      <sheetName val="CCR"/>
      <sheetName val="Insurance"/>
      <sheetName val="Rates"/>
      <sheetName val="Water"/>
      <sheetName val="Energy"/>
      <sheetName val="Cleaning"/>
      <sheetName val="Building Maintenance"/>
      <sheetName val="Grounds Maintenance"/>
      <sheetName val="Facilities Management"/>
      <sheetName val="Learning Materials"/>
      <sheetName val="SQA"/>
      <sheetName val="Catering Costs"/>
      <sheetName val="School Transport"/>
      <sheetName val="Staff Transport"/>
      <sheetName val="Income from School Meals"/>
      <sheetName val="Income from Lets"/>
      <sheetName val="HLH Management Fee"/>
      <sheetName val="Loan Charges"/>
      <sheetName val="Background Papers -&gt;"/>
      <sheetName val="Primary Entitlements"/>
      <sheetName val="Secondary Entitlements"/>
    </sheetNames>
    <sheetDataSet>
      <sheetData sheetId="0"/>
      <sheetData sheetId="1"/>
      <sheetData sheetId="2"/>
      <sheetData sheetId="3"/>
      <sheetData sheetId="4">
        <row r="4">
          <cell r="D4">
            <v>0.4</v>
          </cell>
          <cell r="G4">
            <v>0.05</v>
          </cell>
        </row>
        <row r="8">
          <cell r="D8">
            <v>0.5</v>
          </cell>
          <cell r="G8">
            <v>5.5555555555555552E-2</v>
          </cell>
        </row>
      </sheetData>
      <sheetData sheetId="5"/>
      <sheetData sheetId="6"/>
      <sheetData sheetId="7"/>
      <sheetData sheetId="8"/>
      <sheetData sheetId="9">
        <row r="5">
          <cell r="B5">
            <v>94039.362270000012</v>
          </cell>
        </row>
        <row r="6">
          <cell r="B6">
            <v>12405.165948000002</v>
          </cell>
        </row>
        <row r="7">
          <cell r="B7">
            <v>24743.730942000002</v>
          </cell>
        </row>
        <row r="8">
          <cell r="B8">
            <v>3284.5402800000006</v>
          </cell>
        </row>
        <row r="15">
          <cell r="B15">
            <v>161330.30083800002</v>
          </cell>
        </row>
        <row r="40">
          <cell r="G40">
            <v>5.3440000000000003</v>
          </cell>
        </row>
        <row r="48">
          <cell r="G48">
            <v>1.2865</v>
          </cell>
        </row>
        <row r="53">
          <cell r="G53">
            <v>0.6986</v>
          </cell>
        </row>
        <row r="58">
          <cell r="G58">
            <v>0.17460000000000001</v>
          </cell>
        </row>
        <row r="65">
          <cell r="G65">
            <v>9.3255999999999997</v>
          </cell>
        </row>
      </sheetData>
      <sheetData sheetId="10"/>
      <sheetData sheetId="11"/>
      <sheetData sheetId="12">
        <row r="4">
          <cell r="B4">
            <v>71662.235400000005</v>
          </cell>
        </row>
        <row r="5">
          <cell r="B5">
            <v>24969.420000000002</v>
          </cell>
        </row>
        <row r="6">
          <cell r="B6">
            <v>24969.420000000002</v>
          </cell>
        </row>
        <row r="7">
          <cell r="B7">
            <v>0</v>
          </cell>
        </row>
        <row r="13">
          <cell r="D13">
            <v>4</v>
          </cell>
          <cell r="E13">
            <v>99877.680000000008</v>
          </cell>
        </row>
      </sheetData>
      <sheetData sheetId="13"/>
      <sheetData sheetId="14"/>
      <sheetData sheetId="15">
        <row r="5">
          <cell r="B5">
            <v>77355.145945945958</v>
          </cell>
        </row>
        <row r="6">
          <cell r="B6">
            <v>18303.372972972978</v>
          </cell>
        </row>
        <row r="7">
          <cell r="B7">
            <v>80239.864864864881</v>
          </cell>
        </row>
        <row r="8">
          <cell r="B8">
            <v>6101.1243243243252</v>
          </cell>
        </row>
        <row r="9">
          <cell r="B9">
            <v>181999.50810810816</v>
          </cell>
        </row>
        <row r="13">
          <cell r="B13">
            <v>165976.63297297302</v>
          </cell>
        </row>
        <row r="26">
          <cell r="J26">
            <v>3.5810810810810811</v>
          </cell>
        </row>
        <row r="35">
          <cell r="J35">
            <v>4</v>
          </cell>
        </row>
        <row r="41">
          <cell r="J41">
            <v>0.97297297297297303</v>
          </cell>
        </row>
        <row r="47">
          <cell r="J47">
            <v>0.32432432432432434</v>
          </cell>
        </row>
        <row r="50">
          <cell r="J50">
            <v>8.878378378378379</v>
          </cell>
        </row>
        <row r="59">
          <cell r="J59">
            <v>7.9081081081081086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27"/>
  <sheetViews>
    <sheetView tabSelected="1" topLeftCell="K1" workbookViewId="0">
      <selection activeCell="W3" sqref="W3"/>
    </sheetView>
  </sheetViews>
  <sheetFormatPr defaultRowHeight="14.5" x14ac:dyDescent="0.35"/>
  <cols>
    <col min="1" max="1" width="29" customWidth="1"/>
    <col min="2" max="2" width="11.26953125" customWidth="1"/>
    <col min="3" max="3" width="11" customWidth="1"/>
    <col min="4" max="4" width="8.26953125" bestFit="1" customWidth="1"/>
    <col min="5" max="5" width="9.453125" customWidth="1"/>
    <col min="8" max="8" width="11.453125" customWidth="1"/>
    <col min="9" max="9" width="11.7265625" customWidth="1"/>
    <col min="10" max="10" width="11.453125" customWidth="1"/>
    <col min="11" max="11" width="12.453125" customWidth="1"/>
    <col min="12" max="12" width="9.54296875" bestFit="1" customWidth="1"/>
    <col min="16" max="16" width="12.26953125" customWidth="1"/>
    <col min="17" max="17" width="10.7265625" customWidth="1"/>
    <col min="18" max="18" width="10.453125" bestFit="1" customWidth="1"/>
    <col min="22" max="22" width="10.26953125" customWidth="1"/>
  </cols>
  <sheetData>
    <row r="1" spans="1:22" ht="21" x14ac:dyDescent="0.35">
      <c r="B1" s="1"/>
      <c r="C1" s="1"/>
      <c r="D1" s="1"/>
      <c r="E1" s="1"/>
      <c r="G1" s="2" t="s">
        <v>63</v>
      </c>
      <c r="T1" s="2" t="s">
        <v>65</v>
      </c>
    </row>
    <row r="2" spans="1:22" ht="21" x14ac:dyDescent="0.35">
      <c r="A2" s="3" t="s">
        <v>0</v>
      </c>
      <c r="B2" s="1"/>
      <c r="C2" s="1"/>
      <c r="D2" s="1"/>
      <c r="E2" s="1"/>
      <c r="G2" s="2"/>
    </row>
    <row r="3" spans="1:22" ht="45" x14ac:dyDescent="0.25">
      <c r="A3" s="4"/>
      <c r="B3" s="68" t="s">
        <v>62</v>
      </c>
      <c r="C3" s="69"/>
      <c r="D3" s="69"/>
      <c r="E3" s="70"/>
      <c r="F3" s="5" t="s">
        <v>1</v>
      </c>
      <c r="G3" s="5" t="s">
        <v>2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7</v>
      </c>
      <c r="M3" s="5" t="s">
        <v>8</v>
      </c>
      <c r="N3" s="5" t="s">
        <v>9</v>
      </c>
      <c r="O3" s="5" t="s">
        <v>10</v>
      </c>
      <c r="P3" s="5" t="s">
        <v>11</v>
      </c>
      <c r="Q3" s="5" t="s">
        <v>12</v>
      </c>
      <c r="R3" s="5" t="s">
        <v>13</v>
      </c>
      <c r="S3" s="6" t="s">
        <v>14</v>
      </c>
      <c r="T3" s="6" t="s">
        <v>15</v>
      </c>
      <c r="U3" s="6" t="s">
        <v>16</v>
      </c>
      <c r="V3" s="7" t="s">
        <v>17</v>
      </c>
    </row>
    <row r="4" spans="1:22" ht="15" x14ac:dyDescent="0.25">
      <c r="A4" s="8"/>
      <c r="B4" s="9" t="s">
        <v>18</v>
      </c>
      <c r="C4" s="9" t="s">
        <v>19</v>
      </c>
      <c r="D4" s="9" t="s">
        <v>20</v>
      </c>
      <c r="E4" s="9" t="s">
        <v>21</v>
      </c>
      <c r="F4" s="10" t="s">
        <v>22</v>
      </c>
      <c r="G4" s="10" t="s">
        <v>22</v>
      </c>
      <c r="H4" s="10" t="s">
        <v>22</v>
      </c>
      <c r="I4" s="10" t="s">
        <v>22</v>
      </c>
      <c r="J4" s="10" t="s">
        <v>22</v>
      </c>
      <c r="K4" s="10" t="s">
        <v>22</v>
      </c>
      <c r="L4" s="10" t="s">
        <v>22</v>
      </c>
      <c r="M4" s="10" t="s">
        <v>22</v>
      </c>
      <c r="N4" s="10" t="s">
        <v>22</v>
      </c>
      <c r="O4" s="10" t="s">
        <v>22</v>
      </c>
      <c r="P4" s="10" t="s">
        <v>22</v>
      </c>
      <c r="Q4" s="10" t="s">
        <v>22</v>
      </c>
      <c r="R4" s="10" t="s">
        <v>22</v>
      </c>
      <c r="S4" s="11" t="s">
        <v>22</v>
      </c>
      <c r="T4" s="11" t="s">
        <v>22</v>
      </c>
      <c r="U4" s="11" t="s">
        <v>22</v>
      </c>
      <c r="V4" s="12" t="s">
        <v>22</v>
      </c>
    </row>
    <row r="5" spans="1:22" ht="15" x14ac:dyDescent="0.25">
      <c r="A5" s="13" t="s">
        <v>60</v>
      </c>
      <c r="B5" s="1"/>
      <c r="C5" s="1"/>
      <c r="D5" s="1"/>
      <c r="E5" s="1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  <c r="T5" s="15"/>
      <c r="U5" s="15"/>
    </row>
    <row r="6" spans="1:22" ht="15" x14ac:dyDescent="0.25">
      <c r="A6" s="16" t="s">
        <v>24</v>
      </c>
      <c r="B6" s="17">
        <v>494</v>
      </c>
      <c r="C6" s="17"/>
      <c r="D6" s="17"/>
      <c r="E6" s="17"/>
      <c r="F6" s="18">
        <v>1</v>
      </c>
      <c r="G6" s="18">
        <v>2</v>
      </c>
      <c r="H6" s="18">
        <v>8</v>
      </c>
      <c r="I6" s="18">
        <f>28.04-1.2-J6</f>
        <v>25.34</v>
      </c>
      <c r="J6" s="18">
        <v>1.5</v>
      </c>
      <c r="K6" s="18">
        <v>0</v>
      </c>
      <c r="L6" s="18"/>
      <c r="M6" s="18">
        <v>1</v>
      </c>
      <c r="N6" s="19">
        <v>2.5299999999999998</v>
      </c>
      <c r="O6" s="20">
        <v>0</v>
      </c>
      <c r="P6" s="18">
        <v>1.25</v>
      </c>
      <c r="Q6" s="18"/>
      <c r="R6" s="20"/>
      <c r="S6" s="21">
        <f>2.87</f>
        <v>2.87</v>
      </c>
      <c r="T6" s="21">
        <f>'[1]Catering Costs'!J26</f>
        <v>3.5810810810810811</v>
      </c>
      <c r="U6" s="21">
        <f>[1]Cleaning!G40</f>
        <v>5.3440000000000003</v>
      </c>
      <c r="V6" s="22">
        <f>SUM(F6:U6)</f>
        <v>54.415081081081084</v>
      </c>
    </row>
    <row r="7" spans="1:22" ht="15" x14ac:dyDescent="0.25">
      <c r="A7" s="16" t="s">
        <v>25</v>
      </c>
      <c r="B7" s="17"/>
      <c r="C7" s="17"/>
      <c r="D7" s="17">
        <v>156</v>
      </c>
      <c r="E7" s="17"/>
      <c r="F7" s="20">
        <v>0.5</v>
      </c>
      <c r="G7" s="20">
        <v>1</v>
      </c>
      <c r="H7" s="20">
        <v>1</v>
      </c>
      <c r="I7" s="20">
        <v>6</v>
      </c>
      <c r="J7" s="20">
        <v>0</v>
      </c>
      <c r="K7" s="20">
        <f>0.1+0.1</f>
        <v>0.2</v>
      </c>
      <c r="L7" s="20">
        <f>[1]CCR!D4</f>
        <v>0.4</v>
      </c>
      <c r="M7" s="20"/>
      <c r="N7" s="20">
        <f>28/35</f>
        <v>0.8</v>
      </c>
      <c r="O7" s="20">
        <v>0</v>
      </c>
      <c r="P7" s="20">
        <v>0</v>
      </c>
      <c r="Q7" s="20">
        <f>(6.5/37)/52*45.88</f>
        <v>0.15500000000000003</v>
      </c>
      <c r="R7" s="20">
        <f>(((23/35)/52)*(48.14)*ROUND((E7/10),0))</f>
        <v>0</v>
      </c>
      <c r="S7" s="23">
        <v>1</v>
      </c>
      <c r="T7" s="23">
        <f>'[1]Catering Costs'!J41</f>
        <v>0.97297297297297303</v>
      </c>
      <c r="U7" s="23">
        <f>[1]Cleaning!G53</f>
        <v>0.6986</v>
      </c>
      <c r="V7" s="24">
        <f>SUM(F7:U7)</f>
        <v>12.726572972972974</v>
      </c>
    </row>
    <row r="8" spans="1:22" ht="15" x14ac:dyDescent="0.25">
      <c r="A8" s="16" t="s">
        <v>26</v>
      </c>
      <c r="B8" s="17"/>
      <c r="C8" s="17"/>
      <c r="D8" s="17">
        <f>217+30</f>
        <v>247</v>
      </c>
      <c r="E8" s="17">
        <f>44+7</f>
        <v>51</v>
      </c>
      <c r="F8" s="20">
        <v>1</v>
      </c>
      <c r="G8" s="20">
        <v>1</v>
      </c>
      <c r="H8" s="20">
        <v>1</v>
      </c>
      <c r="I8" s="20">
        <f>7.1-0.1</f>
        <v>7</v>
      </c>
      <c r="J8" s="20">
        <v>0</v>
      </c>
      <c r="K8" s="20">
        <f>1+0.1+0.1</f>
        <v>1.2000000000000002</v>
      </c>
      <c r="L8" s="20">
        <f>[1]CCR!D8</f>
        <v>0.5</v>
      </c>
      <c r="M8" s="20"/>
      <c r="N8" s="20">
        <f>41/35</f>
        <v>1.1714285714285715</v>
      </c>
      <c r="O8" s="20">
        <v>0</v>
      </c>
      <c r="P8" s="20">
        <v>0</v>
      </c>
      <c r="Q8" s="20">
        <f>(6.5/37)/52*45.88</f>
        <v>0.15500000000000003</v>
      </c>
      <c r="R8" s="20">
        <f>(((23/35)/52)*(48.14)*ROUND((E8/10),0))</f>
        <v>3.041813186813187</v>
      </c>
      <c r="S8" s="23">
        <v>1</v>
      </c>
      <c r="T8" s="23">
        <f>'[1]Catering Costs'!J35</f>
        <v>4</v>
      </c>
      <c r="U8" s="23">
        <f>[1]Cleaning!G48</f>
        <v>1.2865</v>
      </c>
      <c r="V8" s="24">
        <f>SUM(F8:U8)</f>
        <v>22.354741758241758</v>
      </c>
    </row>
    <row r="9" spans="1:22" ht="15" x14ac:dyDescent="0.25">
      <c r="A9" s="16" t="s">
        <v>27</v>
      </c>
      <c r="B9" s="17"/>
      <c r="C9" s="17">
        <v>14</v>
      </c>
      <c r="D9" s="17"/>
      <c r="E9" s="17"/>
      <c r="F9" s="20">
        <v>1</v>
      </c>
      <c r="G9" s="20">
        <v>0</v>
      </c>
      <c r="H9" s="20">
        <v>1</v>
      </c>
      <c r="I9" s="20">
        <f>1.5</f>
        <v>1.5</v>
      </c>
      <c r="J9" s="20">
        <v>0</v>
      </c>
      <c r="K9" s="20">
        <v>0</v>
      </c>
      <c r="L9" s="20">
        <v>0</v>
      </c>
      <c r="M9" s="20">
        <v>0.42299999999999999</v>
      </c>
      <c r="N9" s="20">
        <v>0</v>
      </c>
      <c r="O9" s="20">
        <f>((225/35/52)*44.8)</f>
        <v>5.5384615384615383</v>
      </c>
      <c r="P9" s="20">
        <v>0</v>
      </c>
      <c r="Q9" s="20"/>
      <c r="R9" s="20">
        <v>0</v>
      </c>
      <c r="S9" s="23"/>
      <c r="T9" s="23">
        <f>'[1]Catering Costs'!J47</f>
        <v>0.32432432432432434</v>
      </c>
      <c r="U9" s="23">
        <f>[1]Cleaning!G58</f>
        <v>0.17460000000000001</v>
      </c>
      <c r="V9" s="24">
        <f>SUM(F9:U9)</f>
        <v>9.9603858627858628</v>
      </c>
    </row>
    <row r="10" spans="1:22" ht="15" x14ac:dyDescent="0.25">
      <c r="A10" s="25" t="s">
        <v>28</v>
      </c>
      <c r="B10" s="26"/>
      <c r="C10" s="26"/>
      <c r="D10" s="26"/>
      <c r="E10" s="26"/>
      <c r="F10" s="27">
        <f>SUM(F6:F9)</f>
        <v>3.5</v>
      </c>
      <c r="G10" s="27">
        <f t="shared" ref="G10:V10" si="0">SUM(G6:G9)</f>
        <v>4</v>
      </c>
      <c r="H10" s="27">
        <f t="shared" si="0"/>
        <v>11</v>
      </c>
      <c r="I10" s="27">
        <f t="shared" si="0"/>
        <v>39.840000000000003</v>
      </c>
      <c r="J10" s="27">
        <f t="shared" si="0"/>
        <v>1.5</v>
      </c>
      <c r="K10" s="27">
        <f t="shared" si="0"/>
        <v>1.4000000000000001</v>
      </c>
      <c r="L10" s="27">
        <f t="shared" si="0"/>
        <v>0.9</v>
      </c>
      <c r="M10" s="27">
        <f t="shared" si="0"/>
        <v>1.423</v>
      </c>
      <c r="N10" s="27">
        <f t="shared" si="0"/>
        <v>4.5014285714285718</v>
      </c>
      <c r="O10" s="27">
        <f>SUM(O6:O9)</f>
        <v>5.5384615384615383</v>
      </c>
      <c r="P10" s="27">
        <f t="shared" si="0"/>
        <v>1.25</v>
      </c>
      <c r="Q10" s="27">
        <f t="shared" si="0"/>
        <v>0.31000000000000005</v>
      </c>
      <c r="R10" s="27">
        <f>SUM(R6:R9)</f>
        <v>3.041813186813187</v>
      </c>
      <c r="S10" s="28">
        <f t="shared" si="0"/>
        <v>4.87</v>
      </c>
      <c r="T10" s="28">
        <f t="shared" si="0"/>
        <v>8.878378378378379</v>
      </c>
      <c r="U10" s="28">
        <f t="shared" si="0"/>
        <v>7.5037000000000003</v>
      </c>
      <c r="V10" s="29">
        <f t="shared" si="0"/>
        <v>99.456781675081686</v>
      </c>
    </row>
    <row r="11" spans="1:22" ht="15" x14ac:dyDescent="0.25">
      <c r="B11" s="1"/>
      <c r="C11" s="1"/>
      <c r="D11" s="30"/>
      <c r="E11" s="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2">
        <f>T10-'[1]Catering Costs'!J50</f>
        <v>0</v>
      </c>
      <c r="U11" s="32">
        <f>U10-[1]Cleaning!G58-[1]Cleaning!G53-[1]Cleaning!G48-[1]Cleaning!G40</f>
        <v>0</v>
      </c>
      <c r="V11" s="31"/>
    </row>
    <row r="12" spans="1:22" ht="15" x14ac:dyDescent="0.25">
      <c r="A12" s="13" t="s">
        <v>60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x14ac:dyDescent="0.25">
      <c r="A13" s="16" t="s">
        <v>30</v>
      </c>
      <c r="B13" s="17">
        <f>B6</f>
        <v>494</v>
      </c>
      <c r="C13" s="17"/>
      <c r="D13" s="17"/>
      <c r="E13" s="17"/>
      <c r="F13" s="20">
        <f t="shared" ref="F13:R13" si="1">F6</f>
        <v>1</v>
      </c>
      <c r="G13" s="20">
        <f t="shared" si="1"/>
        <v>2</v>
      </c>
      <c r="H13" s="18">
        <f t="shared" si="1"/>
        <v>8</v>
      </c>
      <c r="I13" s="18">
        <f t="shared" si="1"/>
        <v>25.34</v>
      </c>
      <c r="J13" s="20">
        <f t="shared" si="1"/>
        <v>1.5</v>
      </c>
      <c r="K13" s="18">
        <f t="shared" si="1"/>
        <v>0</v>
      </c>
      <c r="L13" s="18">
        <f t="shared" si="1"/>
        <v>0</v>
      </c>
      <c r="M13" s="20">
        <f>M6*90%</f>
        <v>0.9</v>
      </c>
      <c r="N13" s="20">
        <f>N6*90%</f>
        <v>2.2769999999999997</v>
      </c>
      <c r="O13" s="20">
        <v>0</v>
      </c>
      <c r="P13" s="20">
        <f t="shared" si="1"/>
        <v>1.25</v>
      </c>
      <c r="Q13" s="20">
        <f t="shared" si="1"/>
        <v>0</v>
      </c>
      <c r="R13" s="20">
        <f t="shared" si="1"/>
        <v>0</v>
      </c>
      <c r="S13" s="23">
        <f>'[1]Facilities Management'!D13</f>
        <v>4</v>
      </c>
      <c r="T13" s="23">
        <f>'[1]Catering Costs'!J59</f>
        <v>7.9081081081081086</v>
      </c>
      <c r="U13" s="23">
        <f>[1]Cleaning!G65</f>
        <v>9.3255999999999997</v>
      </c>
      <c r="V13" s="24">
        <f>SUM(F13:U13)</f>
        <v>63.500708108108114</v>
      </c>
    </row>
    <row r="14" spans="1:22" ht="15" x14ac:dyDescent="0.25">
      <c r="A14" s="16" t="s">
        <v>31</v>
      </c>
      <c r="B14" s="17"/>
      <c r="C14" s="17"/>
      <c r="D14" s="17">
        <f>D7+D8</f>
        <v>403</v>
      </c>
      <c r="E14" s="17">
        <f>E8</f>
        <v>51</v>
      </c>
      <c r="F14" s="20">
        <v>1</v>
      </c>
      <c r="G14" s="20">
        <v>1</v>
      </c>
      <c r="H14" s="20">
        <v>4</v>
      </c>
      <c r="I14" s="20">
        <f>8+2</f>
        <v>10</v>
      </c>
      <c r="J14" s="20">
        <v>0</v>
      </c>
      <c r="K14" s="20">
        <f>1+0.2+0.4</f>
        <v>1.6</v>
      </c>
      <c r="L14" s="20">
        <f>ROUND((G14+H14+I14)*(([1]CCR!G4+[1]CCR!G8)/2),1)</f>
        <v>0.8</v>
      </c>
      <c r="M14" s="20"/>
      <c r="N14" s="20">
        <f>(54/35)*90%</f>
        <v>1.3885714285714286</v>
      </c>
      <c r="O14" s="20">
        <v>0</v>
      </c>
      <c r="P14" s="20">
        <v>0</v>
      </c>
      <c r="Q14" s="20">
        <f>(6.5/37)/52*45.88</f>
        <v>0.15500000000000003</v>
      </c>
      <c r="R14" s="20">
        <f>(((23/35)/52)*(48.14)*ROUND((E14/10),0))</f>
        <v>3.041813186813187</v>
      </c>
      <c r="S14" s="23"/>
      <c r="T14" s="23"/>
      <c r="U14" s="23"/>
      <c r="V14" s="24">
        <f>SUM(F14:U14)</f>
        <v>22.985384615384618</v>
      </c>
    </row>
    <row r="15" spans="1:22" ht="15" x14ac:dyDescent="0.25">
      <c r="A15" s="16" t="s">
        <v>19</v>
      </c>
      <c r="B15" s="17"/>
      <c r="C15" s="17">
        <v>14</v>
      </c>
      <c r="D15" s="17"/>
      <c r="E15" s="17"/>
      <c r="F15" s="20">
        <v>0</v>
      </c>
      <c r="G15" s="20">
        <v>1</v>
      </c>
      <c r="H15" s="20">
        <f>H9</f>
        <v>1</v>
      </c>
      <c r="I15" s="20">
        <f>I9</f>
        <v>1.5</v>
      </c>
      <c r="J15" s="20">
        <v>0</v>
      </c>
      <c r="K15" s="20">
        <v>0</v>
      </c>
      <c r="L15" s="20">
        <v>0.3</v>
      </c>
      <c r="M15" s="20">
        <f>M9*90%</f>
        <v>0.38069999999999998</v>
      </c>
      <c r="N15" s="20">
        <f>N9</f>
        <v>0</v>
      </c>
      <c r="O15" s="20">
        <f>O9</f>
        <v>5.5384615384615383</v>
      </c>
      <c r="P15" s="20">
        <v>0</v>
      </c>
      <c r="Q15" s="20"/>
      <c r="R15" s="20">
        <v>0</v>
      </c>
      <c r="S15" s="23"/>
      <c r="T15" s="23"/>
      <c r="U15" s="23"/>
      <c r="V15" s="24">
        <f>SUM(F15:U15)</f>
        <v>9.7191615384615382</v>
      </c>
    </row>
    <row r="16" spans="1:22" ht="15" x14ac:dyDescent="0.25">
      <c r="A16" s="16" t="s">
        <v>32</v>
      </c>
      <c r="B16" s="17"/>
      <c r="C16" s="17"/>
      <c r="D16" s="17"/>
      <c r="E16" s="17"/>
      <c r="F16" s="20">
        <v>0.5</v>
      </c>
      <c r="G16" s="20">
        <v>0</v>
      </c>
      <c r="H16" s="20">
        <v>-1</v>
      </c>
      <c r="I16" s="20">
        <v>0</v>
      </c>
      <c r="J16" s="20">
        <v>0</v>
      </c>
      <c r="K16" s="20">
        <v>0.1</v>
      </c>
      <c r="L16" s="20"/>
      <c r="M16" s="20"/>
      <c r="N16" s="20"/>
      <c r="O16" s="20"/>
      <c r="P16" s="20"/>
      <c r="Q16" s="20"/>
      <c r="R16" s="20"/>
      <c r="S16" s="23"/>
      <c r="T16" s="23"/>
      <c r="U16" s="23"/>
      <c r="V16" s="24">
        <f>SUM(F16:U16)</f>
        <v>-0.4</v>
      </c>
    </row>
    <row r="17" spans="1:22" ht="15" x14ac:dyDescent="0.25">
      <c r="A17" s="25" t="s">
        <v>28</v>
      </c>
      <c r="B17" s="26">
        <f>SUM(B13:B16)</f>
        <v>494</v>
      </c>
      <c r="C17" s="26">
        <f t="shared" ref="C17:U17" si="2">SUM(C13:C16)</f>
        <v>14</v>
      </c>
      <c r="D17" s="26">
        <f t="shared" si="2"/>
        <v>403</v>
      </c>
      <c r="E17" s="26">
        <f t="shared" si="2"/>
        <v>51</v>
      </c>
      <c r="F17" s="27">
        <f t="shared" si="2"/>
        <v>2.5</v>
      </c>
      <c r="G17" s="27">
        <f t="shared" si="2"/>
        <v>4</v>
      </c>
      <c r="H17" s="27">
        <f t="shared" si="2"/>
        <v>12</v>
      </c>
      <c r="I17" s="27">
        <f t="shared" si="2"/>
        <v>36.840000000000003</v>
      </c>
      <c r="J17" s="27">
        <f t="shared" si="2"/>
        <v>1.5</v>
      </c>
      <c r="K17" s="27">
        <f t="shared" si="2"/>
        <v>1.7000000000000002</v>
      </c>
      <c r="L17" s="27">
        <f t="shared" si="2"/>
        <v>1.1000000000000001</v>
      </c>
      <c r="M17" s="27">
        <f t="shared" si="2"/>
        <v>1.2806999999999999</v>
      </c>
      <c r="N17" s="27">
        <f t="shared" si="2"/>
        <v>3.665571428571428</v>
      </c>
      <c r="O17" s="27">
        <f t="shared" si="2"/>
        <v>5.5384615384615383</v>
      </c>
      <c r="P17" s="27">
        <f t="shared" si="2"/>
        <v>1.25</v>
      </c>
      <c r="Q17" s="27">
        <f t="shared" si="2"/>
        <v>0.15500000000000003</v>
      </c>
      <c r="R17" s="27">
        <f>SUM(R13:R16)</f>
        <v>3.041813186813187</v>
      </c>
      <c r="S17" s="28">
        <f t="shared" si="2"/>
        <v>4</v>
      </c>
      <c r="T17" s="28">
        <f t="shared" si="2"/>
        <v>7.9081081081081086</v>
      </c>
      <c r="U17" s="28">
        <f t="shared" si="2"/>
        <v>9.3255999999999997</v>
      </c>
      <c r="V17" s="61">
        <f>SUM(V13:V16)</f>
        <v>95.805254261954261</v>
      </c>
    </row>
    <row r="18" spans="1:22" ht="15" x14ac:dyDescent="0.25">
      <c r="B18" s="1"/>
      <c r="C18" s="1"/>
      <c r="D18" s="1"/>
      <c r="E18" s="1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 ht="15" x14ac:dyDescent="0.25">
      <c r="A19" s="67" t="s">
        <v>61</v>
      </c>
      <c r="B19" s="17"/>
      <c r="C19" s="17"/>
      <c r="D19" s="17"/>
      <c r="E19" s="17"/>
      <c r="F19" s="20">
        <f>+F17-F10</f>
        <v>-1</v>
      </c>
      <c r="G19" s="20">
        <f t="shared" ref="G19:R19" si="3">+G17-G10</f>
        <v>0</v>
      </c>
      <c r="H19" s="20">
        <f t="shared" si="3"/>
        <v>1</v>
      </c>
      <c r="I19" s="20">
        <f t="shared" si="3"/>
        <v>-3</v>
      </c>
      <c r="J19" s="20">
        <f t="shared" si="3"/>
        <v>0</v>
      </c>
      <c r="K19" s="20">
        <f t="shared" si="3"/>
        <v>0.30000000000000004</v>
      </c>
      <c r="L19" s="20">
        <f t="shared" si="3"/>
        <v>0.20000000000000007</v>
      </c>
      <c r="M19" s="20">
        <f t="shared" si="3"/>
        <v>-0.14230000000000009</v>
      </c>
      <c r="N19" s="20">
        <f t="shared" si="3"/>
        <v>-0.83585714285714374</v>
      </c>
      <c r="O19" s="20">
        <f t="shared" si="3"/>
        <v>0</v>
      </c>
      <c r="P19" s="20">
        <f t="shared" si="3"/>
        <v>0</v>
      </c>
      <c r="Q19" s="20">
        <f t="shared" si="3"/>
        <v>-0.15500000000000003</v>
      </c>
      <c r="R19" s="20">
        <f t="shared" si="3"/>
        <v>0</v>
      </c>
      <c r="S19" s="62">
        <f>+S17-S10</f>
        <v>-0.87000000000000011</v>
      </c>
      <c r="T19" s="62">
        <f t="shared" ref="T19:U19" si="4">+T17-T10</f>
        <v>-0.97027027027027035</v>
      </c>
      <c r="U19" s="62">
        <f t="shared" si="4"/>
        <v>1.8218999999999994</v>
      </c>
      <c r="V19" s="24">
        <f>+V17-V10</f>
        <v>-3.6515274131274253</v>
      </c>
    </row>
    <row r="20" spans="1:22" ht="15" x14ac:dyDescent="0.25">
      <c r="A20" t="s">
        <v>60</v>
      </c>
      <c r="B20" s="1"/>
      <c r="C20" s="1"/>
      <c r="D20" s="1"/>
      <c r="E20" s="1"/>
      <c r="K20" s="31"/>
      <c r="L20" s="34"/>
    </row>
    <row r="21" spans="1:22" ht="15" x14ac:dyDescent="0.25">
      <c r="B21" s="1"/>
      <c r="C21" s="1"/>
      <c r="D21" s="1"/>
      <c r="E21" s="1"/>
    </row>
    <row r="22" spans="1:22" ht="18.75" x14ac:dyDescent="0.3">
      <c r="A22" s="3" t="s">
        <v>33</v>
      </c>
      <c r="B22" s="1"/>
      <c r="C22" s="1"/>
      <c r="D22" s="1"/>
      <c r="E22" s="1"/>
    </row>
    <row r="23" spans="1:22" ht="45" x14ac:dyDescent="0.25">
      <c r="A23" s="4"/>
      <c r="B23" s="68" t="s">
        <v>62</v>
      </c>
      <c r="C23" s="69"/>
      <c r="D23" s="69"/>
      <c r="E23" s="70"/>
      <c r="F23" s="5" t="s">
        <v>1</v>
      </c>
      <c r="G23" s="5" t="s">
        <v>2</v>
      </c>
      <c r="H23" s="5" t="s">
        <v>3</v>
      </c>
      <c r="I23" s="5" t="s">
        <v>4</v>
      </c>
      <c r="J23" s="5" t="s">
        <v>5</v>
      </c>
      <c r="K23" s="5" t="s">
        <v>6</v>
      </c>
      <c r="L23" s="5" t="s">
        <v>7</v>
      </c>
      <c r="M23" s="5" t="s">
        <v>8</v>
      </c>
      <c r="N23" s="5" t="s">
        <v>9</v>
      </c>
      <c r="O23" s="5" t="s">
        <v>34</v>
      </c>
      <c r="P23" s="5" t="s">
        <v>11</v>
      </c>
      <c r="Q23" s="5" t="s">
        <v>12</v>
      </c>
      <c r="R23" s="5" t="s">
        <v>13</v>
      </c>
      <c r="S23" s="6" t="s">
        <v>14</v>
      </c>
      <c r="T23" s="6" t="s">
        <v>15</v>
      </c>
      <c r="U23" s="6" t="s">
        <v>16</v>
      </c>
      <c r="V23" s="7" t="s">
        <v>17</v>
      </c>
    </row>
    <row r="24" spans="1:22" x14ac:dyDescent="0.35">
      <c r="A24" s="8"/>
      <c r="B24" s="9" t="s">
        <v>18</v>
      </c>
      <c r="C24" s="9" t="s">
        <v>19</v>
      </c>
      <c r="D24" s="9" t="s">
        <v>20</v>
      </c>
      <c r="E24" s="9" t="s">
        <v>21</v>
      </c>
      <c r="F24" s="10" t="s">
        <v>35</v>
      </c>
      <c r="G24" s="10" t="s">
        <v>35</v>
      </c>
      <c r="H24" s="10" t="s">
        <v>35</v>
      </c>
      <c r="I24" s="10" t="s">
        <v>35</v>
      </c>
      <c r="J24" s="10" t="s">
        <v>35</v>
      </c>
      <c r="K24" s="10" t="s">
        <v>35</v>
      </c>
      <c r="L24" s="10" t="s">
        <v>35</v>
      </c>
      <c r="M24" s="10" t="s">
        <v>35</v>
      </c>
      <c r="N24" s="10" t="s">
        <v>35</v>
      </c>
      <c r="O24" s="10" t="s">
        <v>35</v>
      </c>
      <c r="P24" s="10" t="s">
        <v>35</v>
      </c>
      <c r="Q24" s="10" t="s">
        <v>35</v>
      </c>
      <c r="R24" s="10" t="s">
        <v>35</v>
      </c>
      <c r="S24" s="11" t="s">
        <v>35</v>
      </c>
      <c r="T24" s="11" t="s">
        <v>35</v>
      </c>
      <c r="U24" s="11" t="s">
        <v>35</v>
      </c>
      <c r="V24" s="12" t="s">
        <v>35</v>
      </c>
    </row>
    <row r="25" spans="1:22" x14ac:dyDescent="0.35">
      <c r="A25" s="13" t="s">
        <v>23</v>
      </c>
      <c r="B25" s="1"/>
      <c r="C25" s="1"/>
      <c r="D25" s="1"/>
      <c r="E25" s="1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5"/>
      <c r="T25" s="15"/>
      <c r="U25" s="15"/>
    </row>
    <row r="26" spans="1:22" x14ac:dyDescent="0.35">
      <c r="A26" s="16" t="s">
        <v>24</v>
      </c>
      <c r="B26" s="17">
        <f>B6</f>
        <v>494</v>
      </c>
      <c r="C26" s="17"/>
      <c r="D26" s="17"/>
      <c r="E26" s="17"/>
      <c r="F26" s="35">
        <f>F6*$B$52</f>
        <v>92031</v>
      </c>
      <c r="G26" s="35">
        <f>G6*$C$52</f>
        <v>129018</v>
      </c>
      <c r="H26" s="35">
        <f>H6*$D$52</f>
        <v>436068.86399999994</v>
      </c>
      <c r="I26" s="35">
        <f>I6*$E$52</f>
        <v>1086480.95682</v>
      </c>
      <c r="J26" s="35">
        <f>J6*$E$52</f>
        <v>64314.184500000003</v>
      </c>
      <c r="K26" s="35">
        <f>K6*$E$52</f>
        <v>0</v>
      </c>
      <c r="L26" s="35">
        <f>L6*$E$52</f>
        <v>0</v>
      </c>
      <c r="M26" s="35">
        <f>M6*$F$52</f>
        <v>23619.96</v>
      </c>
      <c r="N26" s="35">
        <f>N6*$G$52</f>
        <v>52273.544399999992</v>
      </c>
      <c r="O26" s="35"/>
      <c r="P26" s="35">
        <f>P6*$H$52</f>
        <v>38582.774999999994</v>
      </c>
      <c r="Q26" s="36"/>
      <c r="R26" s="36">
        <f>R6*$O$46</f>
        <v>0</v>
      </c>
      <c r="S26" s="37">
        <f>'[1]Facilities Management'!B4</f>
        <v>71662.235400000005</v>
      </c>
      <c r="T26" s="37">
        <f>'[1]Catering Costs'!B5</f>
        <v>77355.145945945958</v>
      </c>
      <c r="U26" s="37">
        <f>[1]Cleaning!B5</f>
        <v>94039.362270000012</v>
      </c>
      <c r="V26" s="38">
        <f>SUM(F26:U26)</f>
        <v>2165446.0283359461</v>
      </c>
    </row>
    <row r="27" spans="1:22" x14ac:dyDescent="0.35">
      <c r="A27" s="16" t="s">
        <v>25</v>
      </c>
      <c r="B27" s="17"/>
      <c r="C27" s="17"/>
      <c r="D27" s="17">
        <f>D7</f>
        <v>156</v>
      </c>
      <c r="E27" s="17"/>
      <c r="F27" s="35">
        <f>B46</f>
        <v>30981.861000000001</v>
      </c>
      <c r="G27" s="35">
        <f>C46</f>
        <v>46743.786</v>
      </c>
      <c r="H27" s="35">
        <f>H7*$J$46</f>
        <v>46743.786</v>
      </c>
      <c r="I27" s="35">
        <f t="shared" ref="I27:L28" si="5">I7*$K$46</f>
        <v>257256.73800000001</v>
      </c>
      <c r="J27" s="35">
        <f t="shared" si="5"/>
        <v>0</v>
      </c>
      <c r="K27" s="35">
        <f t="shared" si="5"/>
        <v>8575.2245999999996</v>
      </c>
      <c r="L27" s="35">
        <f t="shared" si="5"/>
        <v>17150.449199999999</v>
      </c>
      <c r="M27" s="35"/>
      <c r="N27" s="35">
        <f>N7*$L$46</f>
        <v>16529.184000000001</v>
      </c>
      <c r="O27" s="35"/>
      <c r="P27" s="35">
        <f>P7*$H$52</f>
        <v>0</v>
      </c>
      <c r="Q27" s="35">
        <f>Q7*$N$46</f>
        <v>2758.2219000000005</v>
      </c>
      <c r="R27" s="36">
        <f>R7*$O$46</f>
        <v>0</v>
      </c>
      <c r="S27" s="37">
        <f>'[1]Facilities Management'!B5</f>
        <v>24969.420000000002</v>
      </c>
      <c r="T27" s="37">
        <f>'[1]Catering Costs'!B6</f>
        <v>18303.372972972978</v>
      </c>
      <c r="U27" s="37">
        <f>[1]Cleaning!B6</f>
        <v>12405.165948000002</v>
      </c>
      <c r="V27" s="38">
        <f>SUM(F27:U27)</f>
        <v>482417.20962097292</v>
      </c>
    </row>
    <row r="28" spans="1:22" x14ac:dyDescent="0.35">
      <c r="A28" s="16" t="s">
        <v>26</v>
      </c>
      <c r="B28" s="17"/>
      <c r="C28" s="17"/>
      <c r="D28" s="17">
        <f>D8</f>
        <v>247</v>
      </c>
      <c r="E28" s="17">
        <f>E8</f>
        <v>51</v>
      </c>
      <c r="F28" s="35">
        <f>D46</f>
        <v>69142.311000000002</v>
      </c>
      <c r="G28" s="35">
        <f>E46</f>
        <v>60326.693999999996</v>
      </c>
      <c r="H28" s="35">
        <f>H8*$J$46</f>
        <v>46743.786</v>
      </c>
      <c r="I28" s="35">
        <f t="shared" si="5"/>
        <v>300132.86099999998</v>
      </c>
      <c r="J28" s="35">
        <f t="shared" si="5"/>
        <v>0</v>
      </c>
      <c r="K28" s="35">
        <f t="shared" si="5"/>
        <v>51451.347600000008</v>
      </c>
      <c r="L28" s="35">
        <f t="shared" si="5"/>
        <v>21438.0615</v>
      </c>
      <c r="M28" s="35"/>
      <c r="N28" s="35">
        <f>N8*$L$46</f>
        <v>24203.448</v>
      </c>
      <c r="O28" s="35"/>
      <c r="P28" s="35">
        <f>P8*$H$52</f>
        <v>0</v>
      </c>
      <c r="Q28" s="35">
        <f>Q8*$N$46</f>
        <v>2758.2219000000005</v>
      </c>
      <c r="R28" s="35">
        <f>R8*$O$46</f>
        <v>82310.734800000006</v>
      </c>
      <c r="S28" s="37">
        <f>'[1]Facilities Management'!B6</f>
        <v>24969.420000000002</v>
      </c>
      <c r="T28" s="37">
        <f>'[1]Catering Costs'!B7</f>
        <v>80239.864864864881</v>
      </c>
      <c r="U28" s="37">
        <f>[1]Cleaning!B7</f>
        <v>24743.730942000002</v>
      </c>
      <c r="V28" s="38">
        <f>SUM(F28:U28)</f>
        <v>788460.48160686484</v>
      </c>
    </row>
    <row r="29" spans="1:22" x14ac:dyDescent="0.35">
      <c r="A29" s="16" t="s">
        <v>27</v>
      </c>
      <c r="B29" s="17"/>
      <c r="C29" s="17">
        <v>14</v>
      </c>
      <c r="D29" s="17"/>
      <c r="E29" s="17"/>
      <c r="F29" s="35">
        <f>F9*G46</f>
        <v>60326.693999999996</v>
      </c>
      <c r="G29" s="35"/>
      <c r="H29" s="35">
        <f>H9*I46</f>
        <v>48675.774000000005</v>
      </c>
      <c r="I29" s="35">
        <f>I9*K46</f>
        <v>64314.184500000003</v>
      </c>
      <c r="J29" s="35"/>
      <c r="K29" s="35"/>
      <c r="L29" s="35"/>
      <c r="M29" s="35">
        <f>M9*F52</f>
        <v>9991.2430800000002</v>
      </c>
      <c r="N29" s="35">
        <v>0</v>
      </c>
      <c r="O29" s="35">
        <f>O9*M46</f>
        <v>149869.44</v>
      </c>
      <c r="P29" s="35">
        <f>P9*$H$52</f>
        <v>0</v>
      </c>
      <c r="Q29" s="35"/>
      <c r="R29" s="35">
        <f>R9*O46</f>
        <v>0</v>
      </c>
      <c r="S29" s="37">
        <f>'[1]Facilities Management'!B7</f>
        <v>0</v>
      </c>
      <c r="T29" s="37">
        <f>'[1]Catering Costs'!B8</f>
        <v>6101.1243243243252</v>
      </c>
      <c r="U29" s="37">
        <f>[1]Cleaning!B8</f>
        <v>3284.5402800000006</v>
      </c>
      <c r="V29" s="38">
        <f>SUM(F29:U29)</f>
        <v>342563.00018432434</v>
      </c>
    </row>
    <row r="30" spans="1:22" x14ac:dyDescent="0.35">
      <c r="A30" s="25" t="s">
        <v>28</v>
      </c>
      <c r="B30" s="17"/>
      <c r="C30" s="17"/>
      <c r="D30" s="17"/>
      <c r="E30" s="17"/>
      <c r="F30" s="39">
        <f>SUM(F26:F29)</f>
        <v>252481.86600000001</v>
      </c>
      <c r="G30" s="39">
        <f t="shared" ref="G30:U30" si="6">SUM(G26:G29)</f>
        <v>236088.47999999998</v>
      </c>
      <c r="H30" s="39">
        <f t="shared" si="6"/>
        <v>578232.21</v>
      </c>
      <c r="I30" s="39">
        <f t="shared" si="6"/>
        <v>1708184.7403199999</v>
      </c>
      <c r="J30" s="39">
        <f t="shared" si="6"/>
        <v>64314.184500000003</v>
      </c>
      <c r="K30" s="39">
        <f t="shared" si="6"/>
        <v>60026.57220000001</v>
      </c>
      <c r="L30" s="39">
        <f t="shared" si="6"/>
        <v>38588.510699999999</v>
      </c>
      <c r="M30" s="39">
        <f t="shared" si="6"/>
        <v>33611.203079999999</v>
      </c>
      <c r="N30" s="39">
        <f t="shared" si="6"/>
        <v>93006.176399999997</v>
      </c>
      <c r="O30" s="39">
        <f>SUM(O26:O29)</f>
        <v>149869.44</v>
      </c>
      <c r="P30" s="39">
        <f t="shared" si="6"/>
        <v>38582.774999999994</v>
      </c>
      <c r="Q30" s="39">
        <f t="shared" si="6"/>
        <v>5516.4438000000009</v>
      </c>
      <c r="R30" s="39">
        <f t="shared" si="6"/>
        <v>82310.734800000006</v>
      </c>
      <c r="S30" s="40">
        <f t="shared" si="6"/>
        <v>121601.0754</v>
      </c>
      <c r="T30" s="40">
        <f t="shared" si="6"/>
        <v>181999.50810810816</v>
      </c>
      <c r="U30" s="40">
        <f t="shared" si="6"/>
        <v>134472.79944</v>
      </c>
      <c r="V30" s="41">
        <f>SUM(V26:V29)</f>
        <v>3778886.7197481086</v>
      </c>
    </row>
    <row r="31" spans="1:22" x14ac:dyDescent="0.35">
      <c r="B31" s="1"/>
      <c r="C31" s="1"/>
      <c r="D31" s="1"/>
      <c r="E31" s="1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>
        <f>T30-'[1]Catering Costs'!B9</f>
        <v>0</v>
      </c>
      <c r="U31" s="42"/>
      <c r="V31" s="42"/>
    </row>
    <row r="32" spans="1:22" x14ac:dyDescent="0.35">
      <c r="A32" s="13" t="s">
        <v>29</v>
      </c>
      <c r="B32" s="1"/>
      <c r="C32" s="1"/>
      <c r="D32" s="1"/>
      <c r="E32" s="1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</row>
    <row r="33" spans="1:25" x14ac:dyDescent="0.35">
      <c r="A33" s="16" t="s">
        <v>30</v>
      </c>
      <c r="B33" s="17">
        <f>B13</f>
        <v>494</v>
      </c>
      <c r="C33" s="17"/>
      <c r="D33" s="17"/>
      <c r="E33" s="17"/>
      <c r="F33" s="35">
        <f>F13*$B$52</f>
        <v>92031</v>
      </c>
      <c r="G33" s="35">
        <f>G13*$C$52</f>
        <v>129018</v>
      </c>
      <c r="H33" s="35">
        <f>H13*$D$52</f>
        <v>436068.86399999994</v>
      </c>
      <c r="I33" s="35">
        <f>I13*$E$52</f>
        <v>1086480.95682</v>
      </c>
      <c r="J33" s="35">
        <f>J13*$E$52</f>
        <v>64314.184500000003</v>
      </c>
      <c r="K33" s="35">
        <f>K13*$E$52</f>
        <v>0</v>
      </c>
      <c r="L33" s="35">
        <f>L13*$E$52</f>
        <v>0</v>
      </c>
      <c r="M33" s="35">
        <f>M13*$F$52</f>
        <v>21257.964</v>
      </c>
      <c r="N33" s="35">
        <f>N13*$G$52</f>
        <v>47046.189959999996</v>
      </c>
      <c r="O33" s="35"/>
      <c r="P33" s="35">
        <f>P13*$H$52</f>
        <v>38582.774999999994</v>
      </c>
      <c r="Q33" s="35">
        <f>Q13*$N$46</f>
        <v>0</v>
      </c>
      <c r="R33" s="35">
        <f>R13*$O$46</f>
        <v>0</v>
      </c>
      <c r="S33" s="37">
        <f>'[1]Facilities Management'!E13</f>
        <v>99877.680000000008</v>
      </c>
      <c r="T33" s="37">
        <f>'[1]Catering Costs'!B13</f>
        <v>165976.63297297302</v>
      </c>
      <c r="U33" s="37">
        <f>[1]Cleaning!B15</f>
        <v>161330.30083800002</v>
      </c>
      <c r="V33" s="38">
        <f>SUM(F33:U33)</f>
        <v>2341984.5480909729</v>
      </c>
    </row>
    <row r="34" spans="1:25" x14ac:dyDescent="0.35">
      <c r="A34" s="16" t="s">
        <v>31</v>
      </c>
      <c r="B34" s="17"/>
      <c r="C34" s="17"/>
      <c r="D34" s="17">
        <f>D14</f>
        <v>403</v>
      </c>
      <c r="E34" s="17">
        <f>E14</f>
        <v>51</v>
      </c>
      <c r="F34" s="35">
        <f>F14*D46</f>
        <v>69142.311000000002</v>
      </c>
      <c r="G34" s="35">
        <f>G14*$F$46</f>
        <v>63762.977999999996</v>
      </c>
      <c r="H34" s="35">
        <f>H14*$J$46</f>
        <v>186975.144</v>
      </c>
      <c r="I34" s="35">
        <f>I14*$K$46</f>
        <v>428761.23</v>
      </c>
      <c r="J34" s="35">
        <f>J14*$K$46</f>
        <v>0</v>
      </c>
      <c r="K34" s="35">
        <f>K14*$K$46</f>
        <v>68601.796799999996</v>
      </c>
      <c r="L34" s="35">
        <f>L14*$K$46</f>
        <v>34300.898399999998</v>
      </c>
      <c r="M34" s="35">
        <f>M14*$F$52</f>
        <v>0</v>
      </c>
      <c r="N34" s="35">
        <f>N14*$L$46</f>
        <v>28689.9408</v>
      </c>
      <c r="O34" s="35"/>
      <c r="P34" s="35">
        <f>P14*$H$52</f>
        <v>0</v>
      </c>
      <c r="Q34" s="35">
        <f>Q14*$N$46</f>
        <v>2758.2219000000005</v>
      </c>
      <c r="R34" s="35">
        <f>R14*$O$46</f>
        <v>82310.734800000006</v>
      </c>
      <c r="S34" s="37"/>
      <c r="T34" s="37"/>
      <c r="U34" s="37"/>
      <c r="V34" s="38">
        <f>SUM(F34:U34)</f>
        <v>965303.25569999986</v>
      </c>
    </row>
    <row r="35" spans="1:25" x14ac:dyDescent="0.35">
      <c r="A35" s="16" t="s">
        <v>19</v>
      </c>
      <c r="B35" s="17"/>
      <c r="C35" s="17">
        <v>14</v>
      </c>
      <c r="D35" s="17"/>
      <c r="E35" s="17"/>
      <c r="F35" s="35">
        <f>F15*G46</f>
        <v>0</v>
      </c>
      <c r="G35" s="35">
        <f>G15*H46</f>
        <v>58387.332000000002</v>
      </c>
      <c r="H35" s="35">
        <f>H15*I46</f>
        <v>48675.774000000005</v>
      </c>
      <c r="I35" s="35">
        <f>I15*K46</f>
        <v>64314.184500000003</v>
      </c>
      <c r="J35" s="35">
        <v>0</v>
      </c>
      <c r="K35" s="35"/>
      <c r="L35" s="35">
        <f>L15*K46</f>
        <v>12862.8369</v>
      </c>
      <c r="M35" s="35"/>
      <c r="N35" s="35"/>
      <c r="O35" s="35">
        <f>O15*M46</f>
        <v>149869.44</v>
      </c>
      <c r="P35" s="35">
        <f>P15*$H$52</f>
        <v>0</v>
      </c>
      <c r="Q35" s="35"/>
      <c r="R35" s="35">
        <f>R15*$O$46</f>
        <v>0</v>
      </c>
      <c r="S35" s="37"/>
      <c r="T35" s="37"/>
      <c r="U35" s="37"/>
      <c r="V35" s="38">
        <f>SUM(F35:U35)</f>
        <v>334109.5674</v>
      </c>
    </row>
    <row r="36" spans="1:25" x14ac:dyDescent="0.35">
      <c r="A36" s="16" t="s">
        <v>32</v>
      </c>
      <c r="B36" s="17"/>
      <c r="C36" s="17"/>
      <c r="D36" s="17"/>
      <c r="E36" s="17"/>
      <c r="F36" s="35">
        <f>B46</f>
        <v>30981.861000000001</v>
      </c>
      <c r="G36" s="35"/>
      <c r="H36" s="35">
        <f>H16*J46</f>
        <v>-46743.786</v>
      </c>
      <c r="I36" s="35"/>
      <c r="J36" s="35"/>
      <c r="K36" s="35">
        <f>K46*K16</f>
        <v>4287.6122999999998</v>
      </c>
      <c r="L36" s="35"/>
      <c r="M36" s="35"/>
      <c r="N36" s="35"/>
      <c r="O36" s="35"/>
      <c r="P36" s="35"/>
      <c r="Q36" s="35"/>
      <c r="R36" s="35"/>
      <c r="S36" s="37"/>
      <c r="T36" s="37"/>
      <c r="U36" s="37"/>
      <c r="V36" s="38">
        <f>SUM(F36:U36)</f>
        <v>-11474.312699999999</v>
      </c>
    </row>
    <row r="37" spans="1:25" x14ac:dyDescent="0.35">
      <c r="A37" s="25" t="s">
        <v>28</v>
      </c>
      <c r="B37" s="26"/>
      <c r="C37" s="26"/>
      <c r="D37" s="26"/>
      <c r="E37" s="26"/>
      <c r="F37" s="39">
        <f>SUM(F33:F36)</f>
        <v>192155.17199999999</v>
      </c>
      <c r="G37" s="39">
        <f t="shared" ref="G37:U37" si="7">SUM(G33:G36)</f>
        <v>251168.31</v>
      </c>
      <c r="H37" s="39">
        <f>SUM(H33:H36)</f>
        <v>624975.99599999993</v>
      </c>
      <c r="I37" s="39">
        <f t="shared" si="7"/>
        <v>1579556.3713199999</v>
      </c>
      <c r="J37" s="39">
        <f t="shared" si="7"/>
        <v>64314.184500000003</v>
      </c>
      <c r="K37" s="39">
        <f t="shared" si="7"/>
        <v>72889.40909999999</v>
      </c>
      <c r="L37" s="39">
        <f t="shared" si="7"/>
        <v>47163.7353</v>
      </c>
      <c r="M37" s="39">
        <f t="shared" si="7"/>
        <v>21257.964</v>
      </c>
      <c r="N37" s="39">
        <f t="shared" si="7"/>
        <v>75736.13076</v>
      </c>
      <c r="O37" s="39">
        <f t="shared" si="7"/>
        <v>149869.44</v>
      </c>
      <c r="P37" s="39">
        <f t="shared" si="7"/>
        <v>38582.774999999994</v>
      </c>
      <c r="Q37" s="39">
        <f t="shared" si="7"/>
        <v>2758.2219000000005</v>
      </c>
      <c r="R37" s="39">
        <f t="shared" si="7"/>
        <v>82310.734800000006</v>
      </c>
      <c r="S37" s="40">
        <f t="shared" si="7"/>
        <v>99877.680000000008</v>
      </c>
      <c r="T37" s="40">
        <f t="shared" si="7"/>
        <v>165976.63297297302</v>
      </c>
      <c r="U37" s="40">
        <f t="shared" si="7"/>
        <v>161330.30083800002</v>
      </c>
      <c r="V37" s="66">
        <f>SUM(V33:V36)</f>
        <v>3629923.0584909725</v>
      </c>
    </row>
    <row r="38" spans="1:25" ht="6" customHeight="1" x14ac:dyDescent="0.35">
      <c r="B38" s="1"/>
      <c r="C38" s="1"/>
      <c r="D38" s="1"/>
      <c r="E38" s="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</row>
    <row r="39" spans="1:25" ht="15" hidden="1" x14ac:dyDescent="0.25">
      <c r="A39" s="44" t="s">
        <v>36</v>
      </c>
      <c r="B39" s="1"/>
      <c r="C39" s="1"/>
      <c r="D39" s="1"/>
      <c r="E39" s="1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</row>
    <row r="40" spans="1:25" ht="15" hidden="1" x14ac:dyDescent="0.25">
      <c r="A40" t="s">
        <v>37</v>
      </c>
      <c r="B40" s="1"/>
      <c r="C40" s="1"/>
      <c r="D40" s="1"/>
      <c r="E40" s="1"/>
    </row>
    <row r="41" spans="1:25" ht="15.75" hidden="1" thickBot="1" x14ac:dyDescent="0.3">
      <c r="B41" s="1"/>
      <c r="C41" s="1"/>
      <c r="D41" s="1"/>
      <c r="E41" s="1"/>
    </row>
    <row r="42" spans="1:25" s="50" customFormat="1" ht="60.75" hidden="1" thickBot="1" x14ac:dyDescent="0.3">
      <c r="A42" s="46" t="s">
        <v>38</v>
      </c>
      <c r="B42" s="47" t="s">
        <v>39</v>
      </c>
      <c r="C42" s="47" t="s">
        <v>40</v>
      </c>
      <c r="D42" s="47" t="s">
        <v>41</v>
      </c>
      <c r="E42" s="47" t="s">
        <v>42</v>
      </c>
      <c r="F42" s="47" t="s">
        <v>43</v>
      </c>
      <c r="G42" s="47" t="s">
        <v>44</v>
      </c>
      <c r="H42" s="47" t="s">
        <v>45</v>
      </c>
      <c r="I42" s="47" t="s">
        <v>46</v>
      </c>
      <c r="J42" s="48" t="s">
        <v>3</v>
      </c>
      <c r="K42" s="48" t="s">
        <v>47</v>
      </c>
      <c r="L42" s="47" t="s">
        <v>48</v>
      </c>
      <c r="M42" s="47" t="s">
        <v>10</v>
      </c>
      <c r="N42" s="47" t="s">
        <v>49</v>
      </c>
      <c r="O42" s="49" t="s">
        <v>50</v>
      </c>
      <c r="P42"/>
      <c r="X42" s="51"/>
      <c r="Y42" s="51"/>
    </row>
    <row r="43" spans="1:25" ht="15" hidden="1" x14ac:dyDescent="0.25">
      <c r="A43" s="52" t="s">
        <v>51</v>
      </c>
      <c r="B43" s="53">
        <f>50418*0.5</f>
        <v>25209</v>
      </c>
      <c r="C43" s="53">
        <f>J43</f>
        <v>38034</v>
      </c>
      <c r="D43" s="53">
        <v>56259</v>
      </c>
      <c r="E43" s="53">
        <v>49086</v>
      </c>
      <c r="F43" s="53">
        <v>51882</v>
      </c>
      <c r="G43" s="53">
        <v>49086</v>
      </c>
      <c r="H43" s="53">
        <v>47508</v>
      </c>
      <c r="I43" s="53">
        <v>39606</v>
      </c>
      <c r="J43" s="53">
        <v>38034</v>
      </c>
      <c r="K43" s="53">
        <v>34887</v>
      </c>
      <c r="L43" s="53">
        <v>16398</v>
      </c>
      <c r="M43" s="53">
        <v>21476</v>
      </c>
      <c r="N43" s="53">
        <v>14123</v>
      </c>
      <c r="O43" s="54">
        <f>21476</f>
        <v>21476</v>
      </c>
    </row>
    <row r="44" spans="1:25" ht="15" hidden="1" x14ac:dyDescent="0.25">
      <c r="A44" s="52" t="s">
        <v>52</v>
      </c>
      <c r="B44" s="53">
        <f t="shared" ref="B44:K44" si="8">B43*14.9%</f>
        <v>3756.1409999999996</v>
      </c>
      <c r="C44" s="53">
        <f t="shared" si="8"/>
        <v>5667.0659999999998</v>
      </c>
      <c r="D44" s="53">
        <f t="shared" si="8"/>
        <v>8382.5910000000003</v>
      </c>
      <c r="E44" s="53">
        <f t="shared" si="8"/>
        <v>7313.8139999999994</v>
      </c>
      <c r="F44" s="53">
        <f t="shared" si="8"/>
        <v>7730.4179999999997</v>
      </c>
      <c r="G44" s="53">
        <f t="shared" si="8"/>
        <v>7313.8139999999994</v>
      </c>
      <c r="H44" s="53">
        <f t="shared" si="8"/>
        <v>7078.692</v>
      </c>
      <c r="I44" s="53">
        <f>I43*14.9%</f>
        <v>5901.2939999999999</v>
      </c>
      <c r="J44" s="53">
        <f t="shared" si="8"/>
        <v>5667.0659999999998</v>
      </c>
      <c r="K44" s="53">
        <f t="shared" si="8"/>
        <v>5198.1629999999996</v>
      </c>
      <c r="L44" s="53">
        <f>L43*18%</f>
        <v>2951.64</v>
      </c>
      <c r="M44" s="53">
        <f>M43*18%</f>
        <v>3865.68</v>
      </c>
      <c r="N44" s="53">
        <f>N43*18%</f>
        <v>2542.14</v>
      </c>
      <c r="O44" s="54">
        <f>O43*18%</f>
        <v>3865.68</v>
      </c>
    </row>
    <row r="45" spans="1:25" ht="15.75" hidden="1" thickBot="1" x14ac:dyDescent="0.3">
      <c r="A45" s="52" t="s">
        <v>53</v>
      </c>
      <c r="B45" s="53">
        <f t="shared" ref="B45:O45" si="9">B43*8%</f>
        <v>2016.72</v>
      </c>
      <c r="C45" s="53">
        <f t="shared" si="9"/>
        <v>3042.7200000000003</v>
      </c>
      <c r="D45" s="53">
        <f t="shared" si="9"/>
        <v>4500.72</v>
      </c>
      <c r="E45" s="53">
        <f t="shared" si="9"/>
        <v>3926.88</v>
      </c>
      <c r="F45" s="53">
        <f t="shared" si="9"/>
        <v>4150.5600000000004</v>
      </c>
      <c r="G45" s="53">
        <f t="shared" si="9"/>
        <v>3926.88</v>
      </c>
      <c r="H45" s="53">
        <f t="shared" si="9"/>
        <v>3800.64</v>
      </c>
      <c r="I45" s="53">
        <f>I43*8%</f>
        <v>3168.48</v>
      </c>
      <c r="J45" s="53">
        <f t="shared" si="9"/>
        <v>3042.7200000000003</v>
      </c>
      <c r="K45" s="53">
        <f t="shared" si="9"/>
        <v>2790.96</v>
      </c>
      <c r="L45" s="53">
        <f t="shared" si="9"/>
        <v>1311.84</v>
      </c>
      <c r="M45" s="53">
        <f t="shared" si="9"/>
        <v>1718.08</v>
      </c>
      <c r="N45" s="53">
        <f t="shared" si="9"/>
        <v>1129.8399999999999</v>
      </c>
      <c r="O45" s="54">
        <f t="shared" si="9"/>
        <v>1718.08</v>
      </c>
    </row>
    <row r="46" spans="1:25" ht="15.75" hidden="1" thickBot="1" x14ac:dyDescent="0.3">
      <c r="A46" s="55" t="s">
        <v>28</v>
      </c>
      <c r="B46" s="56">
        <f>SUM(B43:B45)</f>
        <v>30981.861000000001</v>
      </c>
      <c r="C46" s="56">
        <f>SUM(C43:C45)</f>
        <v>46743.786</v>
      </c>
      <c r="D46" s="56">
        <f>SUM(D43:D45)</f>
        <v>69142.311000000002</v>
      </c>
      <c r="E46" s="56">
        <f>SUM(E43:E45)</f>
        <v>60326.693999999996</v>
      </c>
      <c r="F46" s="56">
        <f t="shared" ref="F46:O46" si="10">SUM(F43:F45)</f>
        <v>63762.977999999996</v>
      </c>
      <c r="G46" s="56">
        <f t="shared" si="10"/>
        <v>60326.693999999996</v>
      </c>
      <c r="H46" s="56">
        <f t="shared" si="10"/>
        <v>58387.332000000002</v>
      </c>
      <c r="I46" s="56">
        <f t="shared" si="10"/>
        <v>48675.774000000005</v>
      </c>
      <c r="J46" s="56">
        <f t="shared" si="10"/>
        <v>46743.786</v>
      </c>
      <c r="K46" s="56">
        <f t="shared" si="10"/>
        <v>42876.123</v>
      </c>
      <c r="L46" s="56">
        <f t="shared" si="10"/>
        <v>20661.48</v>
      </c>
      <c r="M46" s="56">
        <f t="shared" si="10"/>
        <v>27059.760000000002</v>
      </c>
      <c r="N46" s="56">
        <f t="shared" si="10"/>
        <v>17794.98</v>
      </c>
      <c r="O46" s="57">
        <f t="shared" si="10"/>
        <v>27059.760000000002</v>
      </c>
    </row>
    <row r="47" spans="1:25" ht="15.75" hidden="1" thickBot="1" x14ac:dyDescent="0.3">
      <c r="B47" s="1"/>
      <c r="C47" s="1"/>
      <c r="D47" s="1"/>
      <c r="E47" s="1"/>
      <c r="F47" s="1"/>
    </row>
    <row r="48" spans="1:25" ht="30.75" hidden="1" thickBot="1" x14ac:dyDescent="0.3">
      <c r="A48" s="58" t="s">
        <v>54</v>
      </c>
      <c r="B48" s="47" t="s">
        <v>55</v>
      </c>
      <c r="C48" s="47" t="s">
        <v>2</v>
      </c>
      <c r="D48" s="48" t="s">
        <v>3</v>
      </c>
      <c r="E48" s="59" t="s">
        <v>47</v>
      </c>
      <c r="F48" s="48" t="s">
        <v>56</v>
      </c>
      <c r="G48" s="47" t="s">
        <v>48</v>
      </c>
      <c r="H48" s="49" t="s">
        <v>57</v>
      </c>
    </row>
    <row r="49" spans="1:8" ht="15" hidden="1" x14ac:dyDescent="0.25">
      <c r="A49" s="52" t="s">
        <v>51</v>
      </c>
      <c r="B49" s="53">
        <v>73266</v>
      </c>
      <c r="C49" s="53">
        <v>51882</v>
      </c>
      <c r="D49" s="53">
        <v>44352</v>
      </c>
      <c r="E49" s="53">
        <v>34887</v>
      </c>
      <c r="F49" s="53">
        <v>18746</v>
      </c>
      <c r="G49" s="53">
        <v>16398</v>
      </c>
      <c r="H49" s="54">
        <v>24497</v>
      </c>
    </row>
    <row r="50" spans="1:8" ht="15" hidden="1" x14ac:dyDescent="0.25">
      <c r="A50" s="52" t="s">
        <v>52</v>
      </c>
      <c r="B50" s="53">
        <v>10917</v>
      </c>
      <c r="C50" s="53">
        <v>7730</v>
      </c>
      <c r="D50" s="53">
        <f>D49*14.9%</f>
        <v>6608.4479999999994</v>
      </c>
      <c r="E50" s="53">
        <f>E49*14.9%</f>
        <v>5198.1629999999996</v>
      </c>
      <c r="F50" s="53">
        <f>F49*18%</f>
        <v>3374.2799999999997</v>
      </c>
      <c r="G50" s="53">
        <f>G49*18%</f>
        <v>2951.64</v>
      </c>
      <c r="H50" s="54">
        <f>H49*18%</f>
        <v>4409.46</v>
      </c>
    </row>
    <row r="51" spans="1:8" ht="15.75" hidden="1" thickBot="1" x14ac:dyDescent="0.3">
      <c r="A51" s="52" t="s">
        <v>53</v>
      </c>
      <c r="B51" s="53">
        <v>7848</v>
      </c>
      <c r="C51" s="53">
        <v>4897</v>
      </c>
      <c r="D51" s="53">
        <f>D49*8%</f>
        <v>3548.16</v>
      </c>
      <c r="E51" s="53">
        <f>E49*8%</f>
        <v>2790.96</v>
      </c>
      <c r="F51" s="53">
        <f>F49*8%</f>
        <v>1499.68</v>
      </c>
      <c r="G51" s="53">
        <f>G49*8%</f>
        <v>1311.84</v>
      </c>
      <c r="H51" s="54">
        <f>H49*8%</f>
        <v>1959.76</v>
      </c>
    </row>
    <row r="52" spans="1:8" ht="15.75" hidden="1" thickBot="1" x14ac:dyDescent="0.3">
      <c r="A52" s="55" t="s">
        <v>28</v>
      </c>
      <c r="B52" s="56">
        <f>SUM(B49:B51)</f>
        <v>92031</v>
      </c>
      <c r="C52" s="56">
        <f t="shared" ref="C52" si="11">SUM(C49:C51)</f>
        <v>64509</v>
      </c>
      <c r="D52" s="56">
        <f>SUM(D49:D51)</f>
        <v>54508.607999999993</v>
      </c>
      <c r="E52" s="56">
        <f>SUM(E49:E51)</f>
        <v>42876.123</v>
      </c>
      <c r="F52" s="56">
        <f>SUM(F49:F51)</f>
        <v>23619.96</v>
      </c>
      <c r="G52" s="56">
        <f>SUM(G49:G51)</f>
        <v>20661.48</v>
      </c>
      <c r="H52" s="57">
        <f>SUM(H49:H51)</f>
        <v>30866.219999999998</v>
      </c>
    </row>
    <row r="53" spans="1:8" ht="15" hidden="1" x14ac:dyDescent="0.25">
      <c r="B53" s="1"/>
      <c r="C53" s="1"/>
      <c r="D53" s="1"/>
    </row>
    <row r="54" spans="1:8" ht="15" hidden="1" x14ac:dyDescent="0.25">
      <c r="B54" s="1"/>
      <c r="C54" s="1"/>
      <c r="D54" s="1"/>
    </row>
    <row r="55" spans="1:8" ht="15" hidden="1" x14ac:dyDescent="0.25">
      <c r="A55" s="44" t="s">
        <v>58</v>
      </c>
      <c r="B55" s="1"/>
      <c r="C55" s="1"/>
      <c r="D55" s="1"/>
      <c r="E55" s="1"/>
    </row>
    <row r="56" spans="1:8" ht="15" hidden="1" x14ac:dyDescent="0.25">
      <c r="A56" t="s">
        <v>59</v>
      </c>
      <c r="B56" s="1"/>
      <c r="C56" s="1"/>
      <c r="D56" s="1"/>
      <c r="E56" s="1"/>
    </row>
    <row r="57" spans="1:8" ht="15" hidden="1" x14ac:dyDescent="0.25">
      <c r="B57" s="1"/>
      <c r="C57" s="1"/>
      <c r="D57" s="60"/>
      <c r="E57" s="1"/>
    </row>
    <row r="58" spans="1:8" ht="15" hidden="1" x14ac:dyDescent="0.25">
      <c r="B58" s="1"/>
      <c r="C58" s="1"/>
      <c r="D58" s="60"/>
      <c r="E58" s="1"/>
    </row>
    <row r="59" spans="1:8" ht="15" hidden="1" x14ac:dyDescent="0.25">
      <c r="B59" s="1"/>
      <c r="C59" s="1"/>
      <c r="D59" s="60"/>
      <c r="E59" s="1"/>
    </row>
    <row r="60" spans="1:8" ht="15" hidden="1" x14ac:dyDescent="0.25">
      <c r="B60" s="1"/>
      <c r="C60" s="1"/>
      <c r="D60" s="60"/>
      <c r="E60" s="1"/>
    </row>
    <row r="61" spans="1:8" ht="15" hidden="1" x14ac:dyDescent="0.25">
      <c r="B61" s="1"/>
      <c r="C61" s="1"/>
      <c r="D61" s="60"/>
      <c r="E61" s="1"/>
    </row>
    <row r="62" spans="1:8" ht="15" hidden="1" x14ac:dyDescent="0.25">
      <c r="B62" s="1"/>
      <c r="C62" s="1"/>
      <c r="D62" s="60"/>
      <c r="E62" s="1"/>
    </row>
    <row r="63" spans="1:8" ht="15" hidden="1" x14ac:dyDescent="0.25">
      <c r="B63" s="1"/>
      <c r="C63" s="1"/>
      <c r="D63" s="60"/>
      <c r="E63" s="1"/>
    </row>
    <row r="64" spans="1:8" ht="15" hidden="1" x14ac:dyDescent="0.25">
      <c r="B64" s="1"/>
      <c r="C64" s="1"/>
      <c r="D64" s="60"/>
      <c r="E64" s="1"/>
    </row>
    <row r="65" spans="2:5" ht="15" hidden="1" x14ac:dyDescent="0.25">
      <c r="B65" s="1"/>
      <c r="C65" s="1"/>
      <c r="D65" s="60"/>
      <c r="E65" s="1"/>
    </row>
    <row r="66" spans="2:5" ht="15" hidden="1" x14ac:dyDescent="0.25">
      <c r="B66" s="1"/>
      <c r="C66" s="1"/>
      <c r="D66" s="60"/>
      <c r="E66" s="1"/>
    </row>
    <row r="67" spans="2:5" ht="15" hidden="1" x14ac:dyDescent="0.25">
      <c r="B67" s="1"/>
      <c r="C67" s="1"/>
      <c r="D67" s="1"/>
      <c r="E67" s="1"/>
    </row>
    <row r="68" spans="2:5" ht="15" hidden="1" x14ac:dyDescent="0.25">
      <c r="B68" s="1"/>
      <c r="C68" s="1"/>
      <c r="D68" s="1"/>
      <c r="E68" s="1"/>
    </row>
    <row r="69" spans="2:5" ht="15" hidden="1" x14ac:dyDescent="0.25">
      <c r="B69" s="1"/>
      <c r="C69" s="1"/>
      <c r="D69" s="1"/>
      <c r="E69" s="1"/>
    </row>
    <row r="70" spans="2:5" ht="15" hidden="1" x14ac:dyDescent="0.25">
      <c r="B70" s="1"/>
      <c r="C70" s="1"/>
      <c r="D70" s="1"/>
      <c r="E70" s="1"/>
    </row>
    <row r="71" spans="2:5" ht="15" hidden="1" x14ac:dyDescent="0.25">
      <c r="B71" s="1"/>
      <c r="C71" s="1"/>
      <c r="D71" s="1"/>
      <c r="E71" s="1"/>
    </row>
    <row r="72" spans="2:5" ht="15" hidden="1" x14ac:dyDescent="0.25">
      <c r="B72" s="1"/>
      <c r="C72" s="1"/>
      <c r="D72" s="1"/>
      <c r="E72" s="1"/>
    </row>
    <row r="73" spans="2:5" ht="15" hidden="1" x14ac:dyDescent="0.25">
      <c r="B73" s="1"/>
      <c r="C73" s="1"/>
      <c r="D73" s="1"/>
      <c r="E73" s="1"/>
    </row>
    <row r="74" spans="2:5" ht="15" hidden="1" x14ac:dyDescent="0.25">
      <c r="B74" s="1"/>
      <c r="C74" s="1"/>
      <c r="D74" s="1"/>
      <c r="E74" s="1"/>
    </row>
    <row r="75" spans="2:5" ht="15" hidden="1" x14ac:dyDescent="0.25">
      <c r="B75" s="1"/>
      <c r="C75" s="1"/>
      <c r="D75" s="1"/>
      <c r="E75" s="1"/>
    </row>
    <row r="76" spans="2:5" ht="15" hidden="1" x14ac:dyDescent="0.25">
      <c r="B76" s="1"/>
      <c r="C76" s="1"/>
      <c r="D76" s="1"/>
      <c r="E76" s="1"/>
    </row>
    <row r="77" spans="2:5" ht="15" hidden="1" x14ac:dyDescent="0.25">
      <c r="B77" s="1"/>
      <c r="C77" s="1"/>
      <c r="D77" s="1"/>
      <c r="E77" s="1"/>
    </row>
    <row r="78" spans="2:5" ht="15" hidden="1" x14ac:dyDescent="0.25">
      <c r="B78" s="1"/>
      <c r="C78" s="1"/>
      <c r="D78" s="1"/>
      <c r="E78" s="1"/>
    </row>
    <row r="79" spans="2:5" ht="15" hidden="1" x14ac:dyDescent="0.25">
      <c r="B79" s="1"/>
      <c r="C79" s="1"/>
      <c r="D79" s="1"/>
      <c r="E79" s="1"/>
    </row>
    <row r="80" spans="2:5" ht="15" hidden="1" x14ac:dyDescent="0.25">
      <c r="B80" s="1"/>
      <c r="C80" s="1"/>
      <c r="D80" s="1"/>
      <c r="E80" s="1"/>
    </row>
    <row r="81" spans="2:5" ht="15" hidden="1" x14ac:dyDescent="0.25">
      <c r="B81" s="1"/>
      <c r="C81" s="1"/>
      <c r="D81" s="1"/>
      <c r="E81" s="1"/>
    </row>
    <row r="82" spans="2:5" ht="15" hidden="1" x14ac:dyDescent="0.25">
      <c r="B82" s="1"/>
      <c r="C82" s="1"/>
      <c r="D82" s="1"/>
      <c r="E82" s="1"/>
    </row>
    <row r="83" spans="2:5" ht="15" hidden="1" x14ac:dyDescent="0.25">
      <c r="B83" s="1"/>
      <c r="C83" s="1"/>
      <c r="D83" s="1"/>
      <c r="E83" s="1"/>
    </row>
    <row r="84" spans="2:5" ht="15" hidden="1" x14ac:dyDescent="0.25">
      <c r="B84" s="1"/>
      <c r="C84" s="1"/>
      <c r="D84" s="1"/>
      <c r="E84" s="1"/>
    </row>
    <row r="85" spans="2:5" ht="15" hidden="1" x14ac:dyDescent="0.25">
      <c r="B85" s="1"/>
      <c r="C85" s="1"/>
      <c r="D85" s="1"/>
      <c r="E85" s="1"/>
    </row>
    <row r="86" spans="2:5" ht="15" hidden="1" x14ac:dyDescent="0.25">
      <c r="B86" s="1"/>
      <c r="C86" s="1"/>
      <c r="D86" s="1"/>
      <c r="E86" s="1"/>
    </row>
    <row r="87" spans="2:5" ht="15" hidden="1" x14ac:dyDescent="0.25">
      <c r="B87" s="1"/>
      <c r="C87" s="1"/>
      <c r="D87" s="1"/>
      <c r="E87" s="1"/>
    </row>
    <row r="88" spans="2:5" ht="15" hidden="1" x14ac:dyDescent="0.25">
      <c r="B88" s="1"/>
      <c r="C88" s="1"/>
      <c r="D88" s="1"/>
      <c r="E88" s="1"/>
    </row>
    <row r="89" spans="2:5" ht="15" hidden="1" x14ac:dyDescent="0.25">
      <c r="B89" s="1"/>
      <c r="C89" s="1"/>
      <c r="D89" s="1"/>
      <c r="E89" s="1"/>
    </row>
    <row r="90" spans="2:5" ht="15" hidden="1" x14ac:dyDescent="0.25">
      <c r="B90" s="1"/>
      <c r="C90" s="1"/>
      <c r="D90" s="1"/>
      <c r="E90" s="1"/>
    </row>
    <row r="91" spans="2:5" ht="15" hidden="1" x14ac:dyDescent="0.25">
      <c r="B91" s="1"/>
      <c r="C91" s="1"/>
      <c r="D91" s="1"/>
      <c r="E91" s="1"/>
    </row>
    <row r="92" spans="2:5" ht="15" hidden="1" x14ac:dyDescent="0.25">
      <c r="B92" s="1"/>
      <c r="C92" s="1"/>
      <c r="D92" s="1"/>
      <c r="E92" s="1"/>
    </row>
    <row r="93" spans="2:5" ht="15" hidden="1" x14ac:dyDescent="0.25">
      <c r="B93" s="1"/>
      <c r="C93" s="1"/>
      <c r="D93" s="1"/>
      <c r="E93" s="1"/>
    </row>
    <row r="94" spans="2:5" ht="15" hidden="1" x14ac:dyDescent="0.25">
      <c r="B94" s="1"/>
      <c r="C94" s="1"/>
      <c r="D94" s="1"/>
      <c r="E94" s="1"/>
    </row>
    <row r="95" spans="2:5" ht="15" hidden="1" x14ac:dyDescent="0.25">
      <c r="B95" s="1"/>
      <c r="C95" s="1"/>
      <c r="D95" s="1"/>
      <c r="E95" s="1"/>
    </row>
    <row r="96" spans="2:5" ht="15" hidden="1" x14ac:dyDescent="0.25">
      <c r="B96" s="1"/>
      <c r="C96" s="1"/>
      <c r="D96" s="1"/>
      <c r="E96" s="1"/>
    </row>
    <row r="97" spans="2:5" ht="15" hidden="1" x14ac:dyDescent="0.25">
      <c r="B97" s="1"/>
      <c r="C97" s="1"/>
      <c r="D97" s="1"/>
      <c r="E97" s="1"/>
    </row>
    <row r="98" spans="2:5" ht="15" hidden="1" x14ac:dyDescent="0.25">
      <c r="B98" s="1"/>
      <c r="C98" s="1"/>
      <c r="D98" s="1"/>
      <c r="E98" s="1"/>
    </row>
    <row r="99" spans="2:5" ht="15" hidden="1" x14ac:dyDescent="0.25">
      <c r="B99" s="1"/>
      <c r="C99" s="1"/>
      <c r="D99" s="1"/>
      <c r="E99" s="1"/>
    </row>
    <row r="100" spans="2:5" ht="15" hidden="1" x14ac:dyDescent="0.25">
      <c r="B100" s="1"/>
      <c r="C100" s="1"/>
      <c r="D100" s="1"/>
      <c r="E100" s="1"/>
    </row>
    <row r="101" spans="2:5" ht="15" hidden="1" x14ac:dyDescent="0.25">
      <c r="B101" s="1"/>
      <c r="C101" s="1"/>
      <c r="D101" s="1"/>
      <c r="E101" s="1"/>
    </row>
    <row r="102" spans="2:5" ht="15" hidden="1" x14ac:dyDescent="0.25">
      <c r="B102" s="1"/>
      <c r="C102" s="1"/>
      <c r="D102" s="1"/>
      <c r="E102" s="1"/>
    </row>
    <row r="103" spans="2:5" ht="15" hidden="1" x14ac:dyDescent="0.25">
      <c r="B103" s="1"/>
      <c r="C103" s="1"/>
      <c r="D103" s="1"/>
      <c r="E103" s="1"/>
    </row>
    <row r="104" spans="2:5" ht="15" hidden="1" x14ac:dyDescent="0.25">
      <c r="B104" s="1"/>
      <c r="C104" s="1"/>
      <c r="D104" s="1"/>
      <c r="E104" s="1"/>
    </row>
    <row r="105" spans="2:5" ht="15" hidden="1" x14ac:dyDescent="0.25">
      <c r="B105" s="1"/>
      <c r="C105" s="1"/>
      <c r="D105" s="1"/>
      <c r="E105" s="1"/>
    </row>
    <row r="106" spans="2:5" ht="15" hidden="1" x14ac:dyDescent="0.25">
      <c r="B106" s="1"/>
      <c r="C106" s="1"/>
      <c r="D106" s="1"/>
      <c r="E106" s="1"/>
    </row>
    <row r="107" spans="2:5" ht="15" hidden="1" x14ac:dyDescent="0.25">
      <c r="B107" s="1"/>
      <c r="C107" s="1"/>
      <c r="D107" s="1"/>
      <c r="E107" s="1"/>
    </row>
    <row r="108" spans="2:5" ht="15" hidden="1" x14ac:dyDescent="0.25">
      <c r="B108" s="1"/>
      <c r="C108" s="1"/>
      <c r="D108" s="1"/>
      <c r="E108" s="1"/>
    </row>
    <row r="109" spans="2:5" ht="15" hidden="1" x14ac:dyDescent="0.25">
      <c r="B109" s="1"/>
      <c r="C109" s="1"/>
      <c r="D109" s="1"/>
      <c r="E109" s="1"/>
    </row>
    <row r="110" spans="2:5" ht="15" hidden="1" x14ac:dyDescent="0.25">
      <c r="B110" s="1"/>
      <c r="C110" s="1"/>
      <c r="D110" s="1"/>
      <c r="E110" s="1"/>
    </row>
    <row r="111" spans="2:5" ht="15" hidden="1" x14ac:dyDescent="0.25">
      <c r="B111" s="1"/>
      <c r="C111" s="1"/>
      <c r="D111" s="1"/>
      <c r="E111" s="1"/>
    </row>
    <row r="112" spans="2:5" ht="15" hidden="1" x14ac:dyDescent="0.25">
      <c r="B112" s="1"/>
      <c r="C112" s="1"/>
      <c r="D112" s="1"/>
      <c r="E112" s="1"/>
    </row>
    <row r="113" spans="1:22" ht="15" hidden="1" x14ac:dyDescent="0.25">
      <c r="B113" s="1"/>
      <c r="C113" s="1"/>
      <c r="D113" s="1"/>
      <c r="E113" s="1"/>
    </row>
    <row r="114" spans="1:22" ht="15" hidden="1" x14ac:dyDescent="0.25">
      <c r="B114" s="1"/>
      <c r="C114" s="1"/>
      <c r="D114" s="1"/>
      <c r="E114" s="1"/>
    </row>
    <row r="115" spans="1:22" ht="15" hidden="1" x14ac:dyDescent="0.25">
      <c r="B115" s="1"/>
      <c r="C115" s="1"/>
      <c r="D115" s="1"/>
      <c r="E115" s="1"/>
    </row>
    <row r="116" spans="1:22" ht="15" hidden="1" x14ac:dyDescent="0.25">
      <c r="B116" s="1"/>
      <c r="C116" s="1"/>
      <c r="D116" s="1"/>
      <c r="E116" s="1"/>
    </row>
    <row r="117" spans="1:22" ht="15" hidden="1" x14ac:dyDescent="0.25">
      <c r="B117" s="1"/>
      <c r="C117" s="1"/>
      <c r="D117" s="1"/>
      <c r="E117" s="1"/>
    </row>
    <row r="118" spans="1:22" x14ac:dyDescent="0.35">
      <c r="B118" s="1"/>
      <c r="C118" s="1"/>
      <c r="D118" s="1"/>
      <c r="E118" s="1"/>
    </row>
    <row r="119" spans="1:22" x14ac:dyDescent="0.35">
      <c r="A119" s="25" t="s">
        <v>64</v>
      </c>
      <c r="B119" s="17"/>
      <c r="C119" s="17"/>
      <c r="D119" s="17"/>
      <c r="E119" s="17"/>
      <c r="F119" s="64">
        <f>+F37-F30</f>
        <v>-60326.694000000018</v>
      </c>
      <c r="G119" s="64">
        <f t="shared" ref="G119:V119" si="12">+G37-G30</f>
        <v>15079.830000000016</v>
      </c>
      <c r="H119" s="64">
        <f t="shared" si="12"/>
        <v>46743.785999999964</v>
      </c>
      <c r="I119" s="64">
        <f t="shared" si="12"/>
        <v>-128628.36899999995</v>
      </c>
      <c r="J119" s="64">
        <f t="shared" si="12"/>
        <v>0</v>
      </c>
      <c r="K119" s="64">
        <f t="shared" si="12"/>
        <v>12862.83689999998</v>
      </c>
      <c r="L119" s="64">
        <f t="shared" si="12"/>
        <v>8575.2246000000014</v>
      </c>
      <c r="M119" s="64">
        <f t="shared" si="12"/>
        <v>-12353.239079999999</v>
      </c>
      <c r="N119" s="64">
        <f t="shared" si="12"/>
        <v>-17270.045639999997</v>
      </c>
      <c r="O119" s="64">
        <f t="shared" si="12"/>
        <v>0</v>
      </c>
      <c r="P119" s="64">
        <f t="shared" si="12"/>
        <v>0</v>
      </c>
      <c r="Q119" s="64">
        <f t="shared" si="12"/>
        <v>-2758.2219000000005</v>
      </c>
      <c r="R119" s="64">
        <f t="shared" si="12"/>
        <v>0</v>
      </c>
      <c r="S119" s="65">
        <f t="shared" si="12"/>
        <v>-21723.395399999994</v>
      </c>
      <c r="T119" s="65">
        <f t="shared" si="12"/>
        <v>-16022.875135135138</v>
      </c>
      <c r="U119" s="65">
        <f t="shared" si="12"/>
        <v>26857.501398000022</v>
      </c>
      <c r="V119" s="63">
        <f t="shared" si="12"/>
        <v>-148963.66125713615</v>
      </c>
    </row>
    <row r="120" spans="1:22" x14ac:dyDescent="0.35">
      <c r="B120" s="1"/>
      <c r="C120" s="1"/>
      <c r="D120" s="1"/>
      <c r="E120" s="1"/>
    </row>
    <row r="121" spans="1:22" x14ac:dyDescent="0.35">
      <c r="B121" s="1"/>
      <c r="C121" s="1"/>
      <c r="D121" s="1"/>
      <c r="E121" s="1"/>
    </row>
    <row r="122" spans="1:22" x14ac:dyDescent="0.35">
      <c r="B122" s="1"/>
      <c r="C122" s="1"/>
      <c r="D122" s="1"/>
      <c r="E122" s="1"/>
    </row>
    <row r="123" spans="1:22" x14ac:dyDescent="0.35">
      <c r="B123" s="1"/>
      <c r="C123" s="1"/>
      <c r="D123" s="1"/>
      <c r="E123" s="1"/>
    </row>
    <row r="124" spans="1:22" x14ac:dyDescent="0.35">
      <c r="B124" s="1"/>
      <c r="C124" s="1"/>
      <c r="D124" s="1"/>
      <c r="E124" s="1"/>
    </row>
    <row r="125" spans="1:22" x14ac:dyDescent="0.35">
      <c r="B125" s="1"/>
      <c r="C125" s="1"/>
      <c r="D125" s="1"/>
      <c r="E125" s="1"/>
    </row>
    <row r="126" spans="1:22" x14ac:dyDescent="0.35">
      <c r="B126" s="1"/>
      <c r="C126" s="1"/>
      <c r="D126" s="1"/>
      <c r="E126" s="1"/>
    </row>
    <row r="127" spans="1:22" x14ac:dyDescent="0.35">
      <c r="B127" s="1"/>
      <c r="C127" s="1"/>
      <c r="D127" s="1"/>
      <c r="E127" s="1"/>
    </row>
  </sheetData>
  <mergeCells count="2">
    <mergeCell ref="B3:E3"/>
    <mergeCell ref="B23:E23"/>
  </mergeCells>
  <pageMargins left="0.7" right="0.7" top="0.75" bottom="0.75" header="0.3" footer="0.3"/>
  <pageSetup paperSize="9" scale="5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Fujitsu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MacKenzie</dc:creator>
  <cp:lastModifiedBy>Margaret MacDonald - Housing &amp; Property Service</cp:lastModifiedBy>
  <cp:lastPrinted>2014-08-09T06:10:47Z</cp:lastPrinted>
  <dcterms:created xsi:type="dcterms:W3CDTF">2014-08-09T06:00:16Z</dcterms:created>
  <dcterms:modified xsi:type="dcterms:W3CDTF">2014-08-19T14:58:12Z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-988356696</vt:i4>
  </property>
  <property fmtid="{D5CDD505-2E9C-101B-9397-08002B2CF9AE}" pid="3" name="_NewReviewCycle">
    <vt:lpwstr/>
  </property>
  <property fmtid="{D5CDD505-2E9C-101B-9397-08002B2CF9AE}" pid="4" name="_EmailSubject">
    <vt:lpwstr>Tain 3-18 campus proposal</vt:lpwstr>
  </property>
  <property fmtid="{D5CDD505-2E9C-101B-9397-08002B2CF9AE}" pid="5" name="_AuthorEmail">
    <vt:lpwstr>sandra.breach@highland.gov.uk</vt:lpwstr>
  </property>
  <property fmtid="{D5CDD505-2E9C-101B-9397-08002B2CF9AE}" pid="6" name="_AuthorEmailDisplayName">
    <vt:lpwstr>Sandra Breach</vt:lpwstr>
  </property>
  <property fmtid="{D5CDD505-2E9C-101B-9397-08002B2CF9AE}" pid="8" name="_PreviousAdHocReviewCycleID">
    <vt:i4>673139502</vt:i4>
  </property>
</Properties>
</file>