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7776" windowHeight="8328" tabRatio="742" firstSheet="6" activeTab="6"/>
  </bookViews>
  <sheets>
    <sheet name="Tracking August to Nov" sheetId="18" state="hidden" r:id="rId1"/>
    <sheet name="Track Aug to Oct updated 15.11" sheetId="21" state="hidden" r:id="rId2"/>
    <sheet name="Tracking August (rev) to Sep" sheetId="16" state="hidden" r:id="rId3"/>
    <sheet name="Tracking June to August" sheetId="14" state="hidden" r:id="rId4"/>
    <sheet name="Tracking June to July" sheetId="12" state="hidden" r:id="rId5"/>
    <sheet name="Tracking April to June" sheetId="9" state="hidden" r:id="rId6"/>
    <sheet name="Cap Prog 1516-2425 Summary" sheetId="81" r:id="rId7"/>
    <sheet name="Cap Prog 1516-2425" sheetId="80" r:id="rId8"/>
  </sheets>
  <definedNames>
    <definedName name="_xlnm._FilterDatabase" localSheetId="7" hidden="1">'Cap Prog 1516-2425'!$A$3:$M$3</definedName>
    <definedName name="_xlnm._FilterDatabase" localSheetId="6" hidden="1">'Cap Prog 1516-2425 Summary'!#REF!</definedName>
    <definedName name="a" localSheetId="6">#REF!</definedName>
    <definedName name="a">#REF!</definedName>
    <definedName name="g" localSheetId="6">#REF!</definedName>
    <definedName name="g">#REF!</definedName>
    <definedName name="_xlnm.Print_Titles" localSheetId="6">'Cap Prog 1516-2425 Summary'!$A:$B</definedName>
    <definedName name="s" localSheetId="6">#REF!</definedName>
    <definedName name="s">#REF!</definedName>
    <definedName name="TableName">"Dummy"</definedName>
    <definedName name="xxx" localSheetId="6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S32" i="81" l="1"/>
  <c r="R32" i="81"/>
  <c r="T32" i="81" s="1"/>
  <c r="Q32" i="81"/>
  <c r="N32" i="81"/>
  <c r="K32" i="81"/>
  <c r="H32" i="81"/>
  <c r="E32" i="81"/>
  <c r="S30" i="81"/>
  <c r="Q30" i="81"/>
  <c r="N30" i="81"/>
  <c r="K30" i="81"/>
  <c r="H30" i="81"/>
  <c r="E30" i="81"/>
  <c r="S29" i="81"/>
  <c r="Q29" i="81"/>
  <c r="N29" i="81"/>
  <c r="K29" i="81"/>
  <c r="H29" i="81"/>
  <c r="E29" i="81"/>
  <c r="Q28" i="81"/>
  <c r="N28" i="81"/>
  <c r="K28" i="81"/>
  <c r="H28" i="81"/>
  <c r="E28" i="81"/>
  <c r="Q27" i="81"/>
  <c r="N27" i="81"/>
  <c r="K27" i="81"/>
  <c r="H27" i="81"/>
  <c r="E27" i="81"/>
  <c r="S26" i="81"/>
  <c r="Q26" i="81"/>
  <c r="N26" i="81"/>
  <c r="K26" i="81"/>
  <c r="H26" i="81"/>
  <c r="E26" i="81"/>
  <c r="S25" i="81"/>
  <c r="Q25" i="81"/>
  <c r="N25" i="81"/>
  <c r="K25" i="81"/>
  <c r="H25" i="81"/>
  <c r="E25" i="81"/>
  <c r="P31" i="81"/>
  <c r="P33" i="81" s="1"/>
  <c r="O31" i="81"/>
  <c r="O33" i="81" s="1"/>
  <c r="M31" i="81"/>
  <c r="M33" i="81" s="1"/>
  <c r="L31" i="81"/>
  <c r="L33" i="81" s="1"/>
  <c r="J31" i="81"/>
  <c r="J33" i="81" s="1"/>
  <c r="I31" i="81"/>
  <c r="I33" i="81" s="1"/>
  <c r="G31" i="81"/>
  <c r="G33" i="81" s="1"/>
  <c r="F31" i="81"/>
  <c r="F33" i="81" s="1"/>
  <c r="D31" i="81"/>
  <c r="D33" i="81" s="1"/>
  <c r="C31" i="81"/>
  <c r="C33" i="81" s="1"/>
  <c r="Q17" i="81"/>
  <c r="N17" i="81"/>
  <c r="K17" i="81"/>
  <c r="H17" i="81"/>
  <c r="E17" i="81"/>
  <c r="Q15" i="81"/>
  <c r="N15" i="81"/>
  <c r="K15" i="81"/>
  <c r="H15" i="81"/>
  <c r="E15" i="81"/>
  <c r="R30" i="81"/>
  <c r="T30" i="81" s="1"/>
  <c r="Q14" i="81"/>
  <c r="N14" i="81"/>
  <c r="K14" i="81"/>
  <c r="H14" i="81"/>
  <c r="E14" i="81"/>
  <c r="R29" i="81"/>
  <c r="T29" i="81" s="1"/>
  <c r="Q13" i="81"/>
  <c r="N13" i="81"/>
  <c r="K13" i="81"/>
  <c r="H13" i="81"/>
  <c r="S28" i="81"/>
  <c r="R28" i="81"/>
  <c r="Q12" i="81"/>
  <c r="N12" i="81"/>
  <c r="K12" i="81"/>
  <c r="H12" i="81"/>
  <c r="S27" i="81"/>
  <c r="R27" i="81"/>
  <c r="Q11" i="81"/>
  <c r="N11" i="81"/>
  <c r="K11" i="81"/>
  <c r="H11" i="81"/>
  <c r="E11" i="81"/>
  <c r="R26" i="81"/>
  <c r="Q10" i="81"/>
  <c r="N10" i="81"/>
  <c r="K10" i="81"/>
  <c r="H10" i="81"/>
  <c r="E10" i="81"/>
  <c r="P16" i="81"/>
  <c r="P18" i="81" s="1"/>
  <c r="O16" i="81"/>
  <c r="O18" i="81" s="1"/>
  <c r="M16" i="81"/>
  <c r="M18" i="81" s="1"/>
  <c r="L16" i="81"/>
  <c r="L18" i="81" s="1"/>
  <c r="J16" i="81"/>
  <c r="J18" i="81" s="1"/>
  <c r="I16" i="81"/>
  <c r="I18" i="81" s="1"/>
  <c r="G16" i="81"/>
  <c r="G18" i="81" s="1"/>
  <c r="H9" i="81"/>
  <c r="S24" i="81"/>
  <c r="R24" i="81"/>
  <c r="H16" i="81" l="1"/>
  <c r="H18" i="81" s="1"/>
  <c r="S31" i="81"/>
  <c r="S33" i="81" s="1"/>
  <c r="T26" i="81"/>
  <c r="T27" i="81"/>
  <c r="T28" i="81"/>
  <c r="T24" i="81"/>
  <c r="N9" i="81"/>
  <c r="N16" i="81" s="1"/>
  <c r="N18" i="81" s="1"/>
  <c r="E13" i="81"/>
  <c r="D16" i="81"/>
  <c r="D18" i="81" s="1"/>
  <c r="F16" i="81"/>
  <c r="F18" i="81" s="1"/>
  <c r="E24" i="81"/>
  <c r="E31" i="81" s="1"/>
  <c r="E33" i="81" s="1"/>
  <c r="K24" i="81"/>
  <c r="K31" i="81" s="1"/>
  <c r="K33" i="81" s="1"/>
  <c r="Q24" i="81"/>
  <c r="Q31" i="81" s="1"/>
  <c r="Q33" i="81" s="1"/>
  <c r="R25" i="81"/>
  <c r="T25" i="81" s="1"/>
  <c r="E9" i="81"/>
  <c r="E16" i="81" s="1"/>
  <c r="E18" i="81" s="1"/>
  <c r="K9" i="81"/>
  <c r="K16" i="81" s="1"/>
  <c r="K18" i="81" s="1"/>
  <c r="Q9" i="81"/>
  <c r="Q16" i="81" s="1"/>
  <c r="Q18" i="81" s="1"/>
  <c r="E12" i="81"/>
  <c r="C16" i="81"/>
  <c r="C18" i="81" s="1"/>
  <c r="H24" i="81"/>
  <c r="H31" i="81" s="1"/>
  <c r="H33" i="81" s="1"/>
  <c r="N24" i="81"/>
  <c r="N31" i="81" s="1"/>
  <c r="N33" i="81" s="1"/>
  <c r="R31" i="81" l="1"/>
  <c r="R33" i="81" s="1"/>
  <c r="T31" i="81"/>
  <c r="T33" i="81" s="1"/>
  <c r="K224" i="80" l="1"/>
  <c r="J224" i="80"/>
  <c r="I224" i="80"/>
  <c r="H224" i="80"/>
  <c r="G224" i="80"/>
  <c r="F224" i="80"/>
  <c r="E224" i="80"/>
  <c r="D224" i="80"/>
  <c r="C224" i="80"/>
  <c r="B224" i="80"/>
  <c r="M222" i="80"/>
  <c r="M224" i="80" s="1"/>
  <c r="K216" i="80"/>
  <c r="J216" i="80"/>
  <c r="I216" i="80"/>
  <c r="H216" i="80"/>
  <c r="G216" i="80"/>
  <c r="F216" i="80"/>
  <c r="E216" i="80"/>
  <c r="D216" i="80"/>
  <c r="C216" i="80"/>
  <c r="B216" i="80"/>
  <c r="M214" i="80"/>
  <c r="M216" i="80" s="1"/>
  <c r="K208" i="80"/>
  <c r="J208" i="80"/>
  <c r="I208" i="80"/>
  <c r="H208" i="80"/>
  <c r="G208" i="80"/>
  <c r="F208" i="80"/>
  <c r="E208" i="80"/>
  <c r="D208" i="80"/>
  <c r="C208" i="80"/>
  <c r="B208" i="80"/>
  <c r="M206" i="80"/>
  <c r="M205" i="80"/>
  <c r="M202" i="80"/>
  <c r="M201" i="80"/>
  <c r="M200" i="80"/>
  <c r="M199" i="80"/>
  <c r="M198" i="80"/>
  <c r="M197" i="80"/>
  <c r="M195" i="80"/>
  <c r="M194" i="80"/>
  <c r="M192" i="80"/>
  <c r="M191" i="80"/>
  <c r="M190" i="80"/>
  <c r="M189" i="80"/>
  <c r="M188" i="80"/>
  <c r="M187" i="80"/>
  <c r="M185" i="80"/>
  <c r="M183" i="80"/>
  <c r="M181" i="80"/>
  <c r="M180" i="80"/>
  <c r="M179" i="80"/>
  <c r="M178" i="80"/>
  <c r="M177" i="80"/>
  <c r="M175" i="80"/>
  <c r="M174" i="80"/>
  <c r="M173" i="80"/>
  <c r="M172" i="80"/>
  <c r="M171" i="80"/>
  <c r="M170" i="80"/>
  <c r="M169" i="80"/>
  <c r="M168" i="80"/>
  <c r="M167" i="80"/>
  <c r="M166" i="80"/>
  <c r="M165" i="80"/>
  <c r="M164" i="80"/>
  <c r="M163" i="80"/>
  <c r="M162" i="80"/>
  <c r="M160" i="80"/>
  <c r="M158" i="80"/>
  <c r="M157" i="80"/>
  <c r="M156" i="80"/>
  <c r="M155" i="80"/>
  <c r="M154" i="80"/>
  <c r="M153" i="80"/>
  <c r="M152" i="80"/>
  <c r="M151" i="80"/>
  <c r="M150" i="80"/>
  <c r="M149" i="80"/>
  <c r="M148" i="80"/>
  <c r="M147" i="80"/>
  <c r="M146" i="80"/>
  <c r="M145" i="80"/>
  <c r="M144" i="80"/>
  <c r="M143" i="80"/>
  <c r="M142" i="80"/>
  <c r="M141" i="80"/>
  <c r="M140" i="80"/>
  <c r="M139" i="80"/>
  <c r="M138" i="80"/>
  <c r="M137" i="80"/>
  <c r="M136" i="80"/>
  <c r="M135" i="80"/>
  <c r="M134" i="80"/>
  <c r="M133" i="80"/>
  <c r="M132" i="80"/>
  <c r="M131" i="80"/>
  <c r="M130" i="80"/>
  <c r="M129" i="80"/>
  <c r="M128" i="80"/>
  <c r="M127" i="80"/>
  <c r="M126" i="80"/>
  <c r="K119" i="80"/>
  <c r="B119" i="80"/>
  <c r="M117" i="80"/>
  <c r="M114" i="80"/>
  <c r="M113" i="80"/>
  <c r="M112" i="80"/>
  <c r="M111" i="80"/>
  <c r="M110" i="80"/>
  <c r="M108" i="80"/>
  <c r="M107" i="80"/>
  <c r="M106" i="80"/>
  <c r="M105" i="80"/>
  <c r="M103" i="80"/>
  <c r="M101" i="80"/>
  <c r="M99" i="80"/>
  <c r="M98" i="80"/>
  <c r="M97" i="80"/>
  <c r="M95" i="80"/>
  <c r="M93" i="80"/>
  <c r="M92" i="80"/>
  <c r="M91" i="80"/>
  <c r="M89" i="80"/>
  <c r="M88" i="80"/>
  <c r="M87" i="80"/>
  <c r="M86" i="80"/>
  <c r="J85" i="80"/>
  <c r="J119" i="80" s="1"/>
  <c r="I85" i="80"/>
  <c r="I119" i="80" s="1"/>
  <c r="H85" i="80"/>
  <c r="H119" i="80" s="1"/>
  <c r="G85" i="80"/>
  <c r="G119" i="80" s="1"/>
  <c r="F85" i="80"/>
  <c r="F119" i="80" s="1"/>
  <c r="E85" i="80"/>
  <c r="E119" i="80" s="1"/>
  <c r="D85" i="80"/>
  <c r="D119" i="80" s="1"/>
  <c r="C85" i="80"/>
  <c r="M85" i="80" s="1"/>
  <c r="M119" i="80" s="1"/>
  <c r="K78" i="80"/>
  <c r="J78" i="80"/>
  <c r="I78" i="80"/>
  <c r="H78" i="80"/>
  <c r="G78" i="80"/>
  <c r="F78" i="80"/>
  <c r="E78" i="80"/>
  <c r="D78" i="80"/>
  <c r="C78" i="80"/>
  <c r="B78" i="80"/>
  <c r="M76" i="80"/>
  <c r="M75" i="80"/>
  <c r="M74" i="80"/>
  <c r="M73" i="80"/>
  <c r="M72" i="80"/>
  <c r="K66" i="80"/>
  <c r="J66" i="80"/>
  <c r="I66" i="80"/>
  <c r="H66" i="80"/>
  <c r="G66" i="80"/>
  <c r="F66" i="80"/>
  <c r="E66" i="80"/>
  <c r="D66" i="80"/>
  <c r="C66" i="80"/>
  <c r="B66" i="80"/>
  <c r="M64" i="80"/>
  <c r="M63" i="80"/>
  <c r="M62" i="80"/>
  <c r="M61" i="80"/>
  <c r="M60" i="80"/>
  <c r="M59" i="80"/>
  <c r="M66" i="80" l="1"/>
  <c r="M208" i="80"/>
  <c r="M78" i="80"/>
  <c r="C119" i="80"/>
  <c r="K53" i="80" l="1"/>
  <c r="B53" i="80" l="1"/>
  <c r="M29" i="80" l="1"/>
  <c r="M40" i="80"/>
  <c r="M20" i="80"/>
  <c r="M52" i="80" l="1"/>
  <c r="M51" i="80"/>
  <c r="M49" i="80"/>
  <c r="M48" i="80"/>
  <c r="M47" i="80"/>
  <c r="M45" i="80"/>
  <c r="M19" i="80"/>
  <c r="M44" i="80"/>
  <c r="M43" i="80"/>
  <c r="M42" i="80"/>
  <c r="M39" i="80"/>
  <c r="M38" i="80"/>
  <c r="M37" i="80"/>
  <c r="M36" i="80"/>
  <c r="M35" i="80"/>
  <c r="M33" i="80"/>
  <c r="M32" i="80"/>
  <c r="M31" i="80"/>
  <c r="M28" i="80"/>
  <c r="M26" i="80"/>
  <c r="M25" i="80"/>
  <c r="M24" i="80"/>
  <c r="M23" i="80"/>
  <c r="M22" i="80"/>
  <c r="M18" i="80"/>
  <c r="M17" i="80"/>
  <c r="M16" i="80"/>
  <c r="M15" i="80"/>
  <c r="M14" i="80"/>
  <c r="M12" i="80"/>
  <c r="M11" i="80"/>
  <c r="M10" i="80"/>
  <c r="M9" i="80"/>
  <c r="M8" i="80"/>
  <c r="M7" i="80"/>
  <c r="M6" i="80"/>
  <c r="E46" i="80" l="1"/>
  <c r="F46" i="80"/>
  <c r="G46" i="80"/>
  <c r="H46" i="80"/>
  <c r="I46" i="80"/>
  <c r="J46" i="80"/>
  <c r="I50" i="80"/>
  <c r="H50" i="80"/>
  <c r="G50" i="80"/>
  <c r="F50" i="80"/>
  <c r="E50" i="80"/>
  <c r="D50" i="80"/>
  <c r="D46" i="80"/>
  <c r="M46" i="80" l="1"/>
  <c r="M50" i="80"/>
  <c r="M27" i="80" l="1"/>
  <c r="M53" i="80" l="1"/>
  <c r="J53" i="80" l="1"/>
  <c r="I53" i="80"/>
  <c r="H53" i="80"/>
  <c r="G53" i="80"/>
  <c r="F53" i="80"/>
  <c r="E53" i="80"/>
  <c r="C53" i="80"/>
  <c r="D53" i="80" l="1"/>
  <c r="N5" i="18" l="1"/>
  <c r="J5" i="18"/>
  <c r="P6" i="21"/>
  <c r="P7" i="21"/>
  <c r="P8" i="21"/>
  <c r="P9" i="21"/>
  <c r="P10" i="21"/>
  <c r="P11" i="21"/>
  <c r="P12" i="21"/>
  <c r="P13" i="21"/>
  <c r="P14" i="21"/>
  <c r="P15" i="21"/>
  <c r="L6" i="21"/>
  <c r="L7" i="21"/>
  <c r="L8" i="21"/>
  <c r="L9" i="21"/>
  <c r="L10" i="21"/>
  <c r="L11" i="21"/>
  <c r="L12" i="21"/>
  <c r="L13" i="21"/>
  <c r="L14" i="21"/>
  <c r="L15" i="21"/>
  <c r="H6" i="21"/>
  <c r="H7" i="21"/>
  <c r="H8" i="21"/>
  <c r="H9" i="21"/>
  <c r="H10" i="21"/>
  <c r="H11" i="21"/>
  <c r="H12" i="21"/>
  <c r="H13" i="21"/>
  <c r="H14" i="21"/>
  <c r="H15" i="21"/>
  <c r="H5" i="21"/>
  <c r="C16" i="21"/>
  <c r="E16" i="21"/>
  <c r="F16" i="21"/>
  <c r="G16" i="21"/>
  <c r="H16" i="21"/>
  <c r="I16" i="21"/>
  <c r="K16" i="21"/>
  <c r="M16" i="21"/>
  <c r="O16" i="21"/>
  <c r="B16" i="21"/>
  <c r="D6" i="21"/>
  <c r="D7" i="21"/>
  <c r="D8" i="21"/>
  <c r="D9" i="21"/>
  <c r="D10" i="21"/>
  <c r="D11" i="21"/>
  <c r="D12" i="21"/>
  <c r="D13" i="21"/>
  <c r="D14" i="21"/>
  <c r="D15" i="21"/>
  <c r="D5" i="21"/>
  <c r="D16" i="21" s="1"/>
  <c r="N5" i="21"/>
  <c r="N16" i="21" s="1"/>
  <c r="J5" i="21"/>
  <c r="L5" i="21" s="1"/>
  <c r="L16" i="21" s="1"/>
  <c r="N10" i="18"/>
  <c r="F10" i="18"/>
  <c r="H10" i="18" s="1"/>
  <c r="B10" i="18"/>
  <c r="C5" i="18"/>
  <c r="P5" i="18"/>
  <c r="P6" i="18"/>
  <c r="P7" i="18"/>
  <c r="P8" i="18"/>
  <c r="N9" i="18"/>
  <c r="P9" i="18" s="1"/>
  <c r="P10" i="18"/>
  <c r="N11" i="18"/>
  <c r="N12" i="18"/>
  <c r="P12" i="18" s="1"/>
  <c r="P13" i="18"/>
  <c r="P14" i="18"/>
  <c r="P15" i="18"/>
  <c r="O16" i="18"/>
  <c r="L6" i="18"/>
  <c r="L7" i="18"/>
  <c r="L8" i="18"/>
  <c r="L9" i="18"/>
  <c r="L10" i="18"/>
  <c r="L11" i="18"/>
  <c r="L12" i="18"/>
  <c r="L13" i="18"/>
  <c r="L14" i="18"/>
  <c r="L15" i="18"/>
  <c r="K16" i="18"/>
  <c r="F5" i="18"/>
  <c r="H6" i="18"/>
  <c r="H7" i="18"/>
  <c r="H8" i="18"/>
  <c r="F9" i="18"/>
  <c r="H9" i="18"/>
  <c r="F11" i="18"/>
  <c r="H11" i="18"/>
  <c r="F12" i="18"/>
  <c r="H12" i="18"/>
  <c r="H13" i="18"/>
  <c r="H14" i="18"/>
  <c r="H15" i="18"/>
  <c r="G16" i="18"/>
  <c r="E16" i="18"/>
  <c r="B5" i="18"/>
  <c r="D6" i="18"/>
  <c r="D7" i="18"/>
  <c r="D8" i="18"/>
  <c r="B9" i="18"/>
  <c r="D9" i="18" s="1"/>
  <c r="D10" i="18"/>
  <c r="B11" i="18"/>
  <c r="D11" i="18"/>
  <c r="B12" i="18"/>
  <c r="D12" i="18"/>
  <c r="D13" i="18"/>
  <c r="D14" i="18"/>
  <c r="D15" i="18"/>
  <c r="C16" i="18"/>
  <c r="N5" i="16"/>
  <c r="J5" i="16"/>
  <c r="J16" i="16"/>
  <c r="F5" i="16"/>
  <c r="B5" i="16"/>
  <c r="D5" i="16" s="1"/>
  <c r="D16" i="16" s="1"/>
  <c r="C5" i="16"/>
  <c r="P5" i="16"/>
  <c r="P6" i="16"/>
  <c r="P7" i="16"/>
  <c r="P8" i="16"/>
  <c r="N9" i="16"/>
  <c r="P9" i="16" s="1"/>
  <c r="P10" i="16"/>
  <c r="N11" i="16"/>
  <c r="N12" i="16"/>
  <c r="P12" i="16" s="1"/>
  <c r="P13" i="16"/>
  <c r="P14" i="16"/>
  <c r="P15" i="16"/>
  <c r="O16" i="16"/>
  <c r="L5" i="16"/>
  <c r="L6" i="16"/>
  <c r="L7" i="16"/>
  <c r="L8" i="16"/>
  <c r="L9" i="16"/>
  <c r="L10" i="16"/>
  <c r="L11" i="16"/>
  <c r="L12" i="16"/>
  <c r="L13" i="16"/>
  <c r="L14" i="16"/>
  <c r="L15" i="16"/>
  <c r="K16" i="16"/>
  <c r="H5" i="16"/>
  <c r="H6" i="16"/>
  <c r="H7" i="16"/>
  <c r="H8" i="16"/>
  <c r="F9" i="16"/>
  <c r="F10" i="16"/>
  <c r="H10" i="16"/>
  <c r="F11" i="16"/>
  <c r="H11" i="16"/>
  <c r="F12" i="16"/>
  <c r="H12" i="16"/>
  <c r="H13" i="16"/>
  <c r="H14" i="16"/>
  <c r="H15" i="16"/>
  <c r="G16" i="16"/>
  <c r="E16" i="16"/>
  <c r="D6" i="16"/>
  <c r="D7" i="16"/>
  <c r="D8" i="16"/>
  <c r="B9" i="16"/>
  <c r="D9" i="16"/>
  <c r="B10" i="16"/>
  <c r="D10" i="16"/>
  <c r="B11" i="16"/>
  <c r="D11" i="16"/>
  <c r="B12" i="16"/>
  <c r="D12" i="16"/>
  <c r="D13" i="16"/>
  <c r="D14" i="16"/>
  <c r="D15" i="16"/>
  <c r="C16" i="16"/>
  <c r="J5" i="14"/>
  <c r="J16" i="14"/>
  <c r="N5" i="14"/>
  <c r="N9" i="14"/>
  <c r="N10" i="14"/>
  <c r="F10" i="14"/>
  <c r="F9" i="14"/>
  <c r="B9" i="14"/>
  <c r="B10" i="14"/>
  <c r="D10" i="14"/>
  <c r="F5" i="14"/>
  <c r="B5" i="14"/>
  <c r="D5" i="14"/>
  <c r="N12" i="14"/>
  <c r="F12" i="14"/>
  <c r="H12" i="14" s="1"/>
  <c r="B12" i="14"/>
  <c r="P5" i="14"/>
  <c r="P6" i="14"/>
  <c r="P7" i="14"/>
  <c r="P8" i="14"/>
  <c r="P9" i="14"/>
  <c r="P10" i="14"/>
  <c r="N11" i="14"/>
  <c r="N16" i="14" s="1"/>
  <c r="P12" i="14"/>
  <c r="P13" i="14"/>
  <c r="P14" i="14"/>
  <c r="P15" i="14"/>
  <c r="O16" i="14"/>
  <c r="L5" i="14"/>
  <c r="L6" i="14"/>
  <c r="L7" i="14"/>
  <c r="L8" i="14"/>
  <c r="L9" i="14"/>
  <c r="L10" i="14"/>
  <c r="L11" i="14"/>
  <c r="L12" i="14"/>
  <c r="L13" i="14"/>
  <c r="L14" i="14"/>
  <c r="L15" i="14"/>
  <c r="K16" i="14"/>
  <c r="H5" i="14"/>
  <c r="H6" i="14"/>
  <c r="H7" i="14"/>
  <c r="H8" i="14"/>
  <c r="H9" i="14"/>
  <c r="H10" i="14"/>
  <c r="F11" i="14"/>
  <c r="F16" i="14" s="1"/>
  <c r="H11" i="14"/>
  <c r="H13" i="14"/>
  <c r="H14" i="14"/>
  <c r="H15" i="14"/>
  <c r="G16" i="14"/>
  <c r="E16" i="14"/>
  <c r="D6" i="14"/>
  <c r="D7" i="14"/>
  <c r="D8" i="14"/>
  <c r="D9" i="14"/>
  <c r="B11" i="14"/>
  <c r="D11" i="14" s="1"/>
  <c r="D12" i="14"/>
  <c r="D13" i="14"/>
  <c r="D14" i="14"/>
  <c r="D15" i="14"/>
  <c r="C16" i="14"/>
  <c r="N12" i="12"/>
  <c r="N5" i="12"/>
  <c r="P5" i="12"/>
  <c r="F12" i="12"/>
  <c r="F5" i="12"/>
  <c r="H5" i="12" s="1"/>
  <c r="H16" i="12" s="1"/>
  <c r="B12" i="12"/>
  <c r="B5" i="12"/>
  <c r="N11" i="12"/>
  <c r="P11" i="12"/>
  <c r="F11" i="12"/>
  <c r="B11" i="12"/>
  <c r="D11" i="12"/>
  <c r="P6" i="12"/>
  <c r="P16" i="12" s="1"/>
  <c r="P7" i="12"/>
  <c r="P8" i="12"/>
  <c r="P9" i="12"/>
  <c r="P10" i="12"/>
  <c r="P12" i="12"/>
  <c r="P13" i="12"/>
  <c r="P14" i="12"/>
  <c r="P15" i="12"/>
  <c r="O16" i="12"/>
  <c r="N16" i="12"/>
  <c r="L5" i="12"/>
  <c r="L16" i="12" s="1"/>
  <c r="L6" i="12"/>
  <c r="L7" i="12"/>
  <c r="L8" i="12"/>
  <c r="L9" i="12"/>
  <c r="L10" i="12"/>
  <c r="L11" i="12"/>
  <c r="L12" i="12"/>
  <c r="L13" i="12"/>
  <c r="L14" i="12"/>
  <c r="L15" i="12"/>
  <c r="K16" i="12"/>
  <c r="J16" i="12"/>
  <c r="H6" i="12"/>
  <c r="H7" i="12"/>
  <c r="H8" i="12"/>
  <c r="H9" i="12"/>
  <c r="H10" i="12"/>
  <c r="H11" i="12"/>
  <c r="H12" i="12"/>
  <c r="H13" i="12"/>
  <c r="H14" i="12"/>
  <c r="H15" i="12"/>
  <c r="G16" i="12"/>
  <c r="F16" i="12"/>
  <c r="E16" i="12"/>
  <c r="D5" i="12"/>
  <c r="D6" i="12"/>
  <c r="D7" i="12"/>
  <c r="D8" i="12"/>
  <c r="D9" i="12"/>
  <c r="D10" i="12"/>
  <c r="D12" i="12"/>
  <c r="D13" i="12"/>
  <c r="D14" i="12"/>
  <c r="D15" i="12"/>
  <c r="C16" i="12"/>
  <c r="P10" i="9"/>
  <c r="L10" i="9"/>
  <c r="H10" i="9"/>
  <c r="D10" i="9"/>
  <c r="P5" i="9"/>
  <c r="P6" i="9"/>
  <c r="P16" i="9" s="1"/>
  <c r="P7" i="9"/>
  <c r="P8" i="9"/>
  <c r="P9" i="9"/>
  <c r="P11" i="9"/>
  <c r="P12" i="9"/>
  <c r="P13" i="9"/>
  <c r="P14" i="9"/>
  <c r="P15" i="9"/>
  <c r="O16" i="9"/>
  <c r="N16" i="9"/>
  <c r="L5" i="9"/>
  <c r="L6" i="9"/>
  <c r="L7" i="9"/>
  <c r="L8" i="9"/>
  <c r="L9" i="9"/>
  <c r="L11" i="9"/>
  <c r="L12" i="9"/>
  <c r="L13" i="9"/>
  <c r="L14" i="9"/>
  <c r="L15" i="9"/>
  <c r="K16" i="9"/>
  <c r="J16" i="9"/>
  <c r="H5" i="9"/>
  <c r="H6" i="9"/>
  <c r="H7" i="9"/>
  <c r="H8" i="9"/>
  <c r="H16" i="9" s="1"/>
  <c r="H9" i="9"/>
  <c r="H11" i="9"/>
  <c r="H12" i="9"/>
  <c r="H13" i="9"/>
  <c r="H14" i="9"/>
  <c r="H15" i="9"/>
  <c r="G16" i="9"/>
  <c r="F16" i="9"/>
  <c r="E16" i="9"/>
  <c r="D5" i="9"/>
  <c r="D6" i="9"/>
  <c r="D7" i="9"/>
  <c r="D8" i="9"/>
  <c r="D16" i="9" s="1"/>
  <c r="D9" i="9"/>
  <c r="D11" i="9"/>
  <c r="D12" i="9"/>
  <c r="D13" i="9"/>
  <c r="D14" i="9"/>
  <c r="D15" i="9"/>
  <c r="C16" i="9"/>
  <c r="B16" i="9"/>
  <c r="L16" i="9"/>
  <c r="L16" i="14"/>
  <c r="H9" i="16"/>
  <c r="F16" i="16"/>
  <c r="H16" i="16"/>
  <c r="L16" i="16"/>
  <c r="P11" i="16"/>
  <c r="N16" i="16"/>
  <c r="P16" i="16"/>
  <c r="J16" i="18"/>
  <c r="L5" i="18"/>
  <c r="L16" i="18"/>
  <c r="D16" i="12"/>
  <c r="B16" i="12"/>
  <c r="B16" i="14"/>
  <c r="B16" i="16"/>
  <c r="D5" i="18"/>
  <c r="D16" i="18"/>
  <c r="B16" i="18"/>
  <c r="H5" i="18"/>
  <c r="H16" i="18"/>
  <c r="F16" i="18"/>
  <c r="P11" i="18"/>
  <c r="N16" i="18"/>
  <c r="P16" i="18"/>
  <c r="H16" i="14"/>
  <c r="P11" i="14"/>
  <c r="P16" i="14" s="1"/>
  <c r="J16" i="21"/>
  <c r="P5" i="21"/>
  <c r="P16" i="21" s="1"/>
  <c r="D16" i="14" l="1"/>
</calcChain>
</file>

<file path=xl/comments1.xml><?xml version="1.0" encoding="utf-8"?>
<comments xmlns="http://schemas.openxmlformats.org/spreadsheetml/2006/main">
  <authors>
    <author>Alison McDonald</author>
  </authors>
  <commentList>
    <comment ref="B27" authorId="0">
      <text>
        <r>
          <rPr>
            <b/>
            <sz val="9"/>
            <color indexed="81"/>
            <rFont val="Tahoma"/>
            <family val="2"/>
          </rPr>
          <t>Alison McDonald:</t>
        </r>
        <r>
          <rPr>
            <sz val="9"/>
            <color indexed="81"/>
            <rFont val="Tahoma"/>
            <family val="2"/>
          </rPr>
          <t xml:space="preserve">
£623k income for net budget of £408k</t>
        </r>
      </text>
    </comment>
  </commentList>
</comments>
</file>

<file path=xl/sharedStrings.xml><?xml version="1.0" encoding="utf-8"?>
<sst xmlns="http://schemas.openxmlformats.org/spreadsheetml/2006/main" count="723" uniqueCount="300">
  <si>
    <t>ECS</t>
  </si>
  <si>
    <t>PD</t>
  </si>
  <si>
    <t>SW</t>
  </si>
  <si>
    <t>TEC</t>
  </si>
  <si>
    <t>CDF</t>
  </si>
  <si>
    <t>Pontoons</t>
  </si>
  <si>
    <t>Inshes Roundabout</t>
  </si>
  <si>
    <t>Service</t>
  </si>
  <si>
    <t>CEX</t>
  </si>
  <si>
    <t>Capital receipts</t>
  </si>
  <si>
    <t>Unallocated line</t>
  </si>
  <si>
    <t>GCG</t>
  </si>
  <si>
    <t>Income</t>
  </si>
  <si>
    <t>Housing non HRA</t>
  </si>
  <si>
    <t>Borrowing</t>
  </si>
  <si>
    <t>Net Allocation</t>
  </si>
  <si>
    <t>Gross</t>
  </si>
  <si>
    <t>Change</t>
  </si>
  <si>
    <t>Reason for change</t>
  </si>
  <si>
    <t>Prior reporting targets (Apr)</t>
  </si>
  <si>
    <t>Capital targets 2011-12: Tracking of changes from targets for last reporting period (April Revised) to current targets (June) £k</t>
  </si>
  <si>
    <t>Current targets (June)</t>
  </si>
  <si>
    <t xml:space="preserve">H&amp;P </t>
  </si>
  <si>
    <t>Further carry forward</t>
  </si>
  <si>
    <t>Leader income Fort William town centre regeneration project</t>
  </si>
  <si>
    <t>Further carry forward + Leader income Fort William town centre regeneration project</t>
  </si>
  <si>
    <t>Capital targets 2011-12: Tracking of changes from targets for last reporting period (June) to current targets (July) £k</t>
  </si>
  <si>
    <t>Prior reporting targets (June)</t>
  </si>
  <si>
    <t>Current targets (July)</t>
  </si>
  <si>
    <t>Aviemore PS vired to ECS</t>
  </si>
  <si>
    <t>as borrowing</t>
  </si>
  <si>
    <t>Updated 8th August for £8k allocation from CDF to ECS</t>
  </si>
  <si>
    <t>£8k to ECS 8th August - Isle of Muck Communitty Enterprise for new community hall</t>
  </si>
  <si>
    <t>Aviemore PS vired from CEX £138k.  CDF to ECS £8k 8th August - Isle of Muck Community Enterprise for new community hall.</t>
  </si>
  <si>
    <t>Capital targets 2011-12: Tracking of changes from targets for last reporting period (June) to current targets (August) £k</t>
  </si>
  <si>
    <t>Current targets (august)</t>
  </si>
  <si>
    <t>Updated July targets 8th August for £8k allocation from CDF to ECS</t>
  </si>
  <si>
    <t>Aviemore PS vired to ECS, then CDF</t>
  </si>
  <si>
    <t>£8k to ECS 8th August - Isle of Muck Communitty Enterprise for new community hall.  £138k added August re Aviemore PS.</t>
  </si>
  <si>
    <t>Aviemore PS vired from CEX £138k - taken out and put to CDF August targets as already in ECS budget.  CDF to ECS £8k 8th August - Isle of Muck Community Enterprise for new community hall. £420k added revised August targets (virements between ECS &amp; Property)</t>
  </si>
  <si>
    <t>£428k as borrowing; less £350k inverness HS insurance as accrued 10-11 add £51k extra income for this accrual to be received 11-12.</t>
  </si>
  <si>
    <t>Inverness HS Insurance £350k taken out as accrual done 10-11, £51k added back as amount expected £401k</t>
  </si>
  <si>
    <t xml:space="preserve"> £420k deducted revised August targets (virements between ECS &amp; Property)</t>
  </si>
  <si>
    <t>Prior reporting targets (August)</t>
  </si>
  <si>
    <t>Current targets (September)</t>
  </si>
  <si>
    <t>Capital targets 2011-12: Tracking of changes from targets for last reporting period (August) to current targets (September) £k</t>
  </si>
  <si>
    <t>£25k increased borrowing per Sep 11 Resources</t>
  </si>
  <si>
    <t>CFCR earmarked bals CHAP reinstatement</t>
  </si>
  <si>
    <t>Lottery Archive £152k removed received in 10/11.</t>
  </si>
  <si>
    <t>See net/income explanations</t>
  </si>
  <si>
    <t>Consent to borrow for National Housing Trust</t>
  </si>
  <si>
    <t>Consent to borrow for NHT £2554k + £500k for CHAP extra CFCR income.</t>
  </si>
  <si>
    <t>Capital targets 2011-12: Tracking of changes from targets for last reporting period (August) to current targets (November) £k</t>
  </si>
  <si>
    <t>Current targets (November)</t>
  </si>
  <si>
    <t>Current targets (October)</t>
  </si>
  <si>
    <t>Capital targets 2011-12: Tracking of changes from targets for last reporting period (August) to current targets (October) £k, updated 15 November</t>
  </si>
  <si>
    <t>Lottery Archive £152k removed received in 10/11.  Late entry: £197k added CFCR cashless catering from MGF.</t>
  </si>
  <si>
    <t>Lottery Archive £152k removed received in 10/11.  Late entry: £197k added CFCR cashless catering from MGF.  Less £150k sports scotland.  Add £12k Gairloch Climbing Wall</t>
  </si>
  <si>
    <t>£000</t>
  </si>
  <si>
    <t>2015/16 Gross</t>
  </si>
  <si>
    <t>Vacant Derelict Land Fund VDLF (Ring-fenced SG Grant)</t>
  </si>
  <si>
    <t>Energy Initiatives</t>
  </si>
  <si>
    <t>Dornoch Sports Centre</t>
  </si>
  <si>
    <t>Portree Gaelic Primary School</t>
  </si>
  <si>
    <t>A861 Drynie Hill - ERDF</t>
  </si>
  <si>
    <t xml:space="preserve">U1074 Ruthven Bridge </t>
  </si>
  <si>
    <t>Kinnairdie Road (including junction at County Buildings)</t>
  </si>
  <si>
    <t>Ice Plant, Lochinver</t>
  </si>
  <si>
    <t>Community &amp; Leisure Facilities</t>
  </si>
  <si>
    <t>Am Fasgadh (Highland Folk Museum)</t>
  </si>
  <si>
    <t>Invergordon Leisure</t>
  </si>
  <si>
    <t>Thurso Swimming Pool</t>
  </si>
  <si>
    <t>Inverness Leisure</t>
  </si>
  <si>
    <t>Thurso Library</t>
  </si>
  <si>
    <t>Secondary Schools Programme</t>
  </si>
  <si>
    <t>Inverness High School</t>
  </si>
  <si>
    <t xml:space="preserve">Inverness Royal Academy </t>
  </si>
  <si>
    <t>Lochaber High Phase 3 &amp; 4</t>
  </si>
  <si>
    <t>Portree HS Hostel</t>
  </si>
  <si>
    <t>Wick Joint Campus (net of SG grant paid direct to contractor)</t>
  </si>
  <si>
    <t>Primary Schools Programme</t>
  </si>
  <si>
    <t xml:space="preserve">Beauly Primary School </t>
  </si>
  <si>
    <t>Fort William - Caol/RC Joint Campus</t>
  </si>
  <si>
    <t>Greater Fort William Primaries incl Gaelic / New Gaelic Primary</t>
  </si>
  <si>
    <t>Fort William - New School at Lundavra</t>
  </si>
  <si>
    <t>Wick - New Noss Primary</t>
  </si>
  <si>
    <t>Special Schools Programme</t>
  </si>
  <si>
    <t>Black Isle Education Centre Replacement</t>
  </si>
  <si>
    <t>St Clements Special School</t>
  </si>
  <si>
    <t>St Duthus Special School</t>
  </si>
  <si>
    <t>Health &amp; Social Care Programme</t>
  </si>
  <si>
    <t>Residential Unit, CSER / Wick Children's Home</t>
  </si>
  <si>
    <t>Adult Services (NHS)</t>
  </si>
  <si>
    <t>Avoiding Out-of-area Children's Placements</t>
  </si>
  <si>
    <t>Children's Services Investment</t>
  </si>
  <si>
    <t>Minor Works and Equipment Replacement</t>
  </si>
  <si>
    <t>Residential Unit for Children with Autism</t>
  </si>
  <si>
    <t>Estate Management</t>
  </si>
  <si>
    <t>SSER - Tain 3-18 Campus</t>
  </si>
  <si>
    <t>SSER - North West Skye</t>
  </si>
  <si>
    <t xml:space="preserve">
Project Name</t>
  </si>
  <si>
    <t>Regeneration of Cameron Square, Fort William</t>
  </si>
  <si>
    <t>Inverness City Gateways</t>
  </si>
  <si>
    <t>Ross and Cromarty Citizen’s Advice Bureau</t>
  </si>
  <si>
    <t>Service Point Improvements</t>
  </si>
  <si>
    <t>ICT Contract Asset Investment</t>
  </si>
  <si>
    <t xml:space="preserve">Video Conferencing/UnifiedComms/Chamber Voting System </t>
  </si>
  <si>
    <t>Digital Outreach</t>
  </si>
  <si>
    <t>ICT Re-Provision (from 2015)</t>
  </si>
  <si>
    <t>Roads &amp; Bridges</t>
  </si>
  <si>
    <t>Road Structural Capital Works</t>
  </si>
  <si>
    <t>Road Surface Dressing Capital</t>
  </si>
  <si>
    <t>Bridges, Retaining Walls &amp; Culverts</t>
  </si>
  <si>
    <t>Area Minor Works - Traffic Calming</t>
  </si>
  <si>
    <t>Timber Extraction</t>
  </si>
  <si>
    <t>Active Travel</t>
  </si>
  <si>
    <t>Cycling, Walking and Safer Streets (RF SG grant)</t>
  </si>
  <si>
    <t>20mph Zones</t>
  </si>
  <si>
    <t>Bus Shelters</t>
  </si>
  <si>
    <t>Lighting</t>
  </si>
  <si>
    <t>Ferries &amp; Harbours</t>
  </si>
  <si>
    <t>Ferries/Harbours General</t>
  </si>
  <si>
    <t>Coast Protection</t>
  </si>
  <si>
    <t>Environmental Health</t>
  </si>
  <si>
    <t>Contaminated Land</t>
  </si>
  <si>
    <t>Community Works</t>
  </si>
  <si>
    <t>Burial Grounds</t>
  </si>
  <si>
    <t>Burial Ground Extension - Portree</t>
  </si>
  <si>
    <t>Burial Ground Extension - Nairn</t>
  </si>
  <si>
    <t>Public Conveniences (Multiple Wards) (TECS)</t>
  </si>
  <si>
    <t>Play Areas (incl Partner Centre Projects)</t>
  </si>
  <si>
    <t>Depots</t>
  </si>
  <si>
    <t>Vehicles &amp; Plant</t>
  </si>
  <si>
    <t>Projects Funded from Project Savings (Self-Financing)</t>
  </si>
  <si>
    <t>Lighting LED (Enhanced Bid)</t>
  </si>
  <si>
    <t>Inverness West Link</t>
  </si>
  <si>
    <t>Major Road Improvements</t>
  </si>
  <si>
    <t xml:space="preserve">Stromeferry Rockface Stabilisation </t>
  </si>
  <si>
    <t>A890 Stromeferry Bypass</t>
  </si>
  <si>
    <t>Minor Roads</t>
  </si>
  <si>
    <t>A99 Keiss to North of Keiss Widening</t>
  </si>
  <si>
    <t>B851/B862 South Loch Ness Road Improvements</t>
  </si>
  <si>
    <t>A832 Slattadale Widening</t>
  </si>
  <si>
    <t>B9091 Clephanton Bends Improvement</t>
  </si>
  <si>
    <t>Achnasheen Road Restraint System</t>
  </si>
  <si>
    <t>Major Bridges</t>
  </si>
  <si>
    <t>A862 Muir of Ord Railway Bridge</t>
  </si>
  <si>
    <t>A836 Naver Bridge, Bettyhill, Sutherland</t>
  </si>
  <si>
    <t>B863 Invercoe Bridge, Lochaber</t>
  </si>
  <si>
    <t>Wick Harbour Bridge</t>
  </si>
  <si>
    <t>Lifeline Bridges</t>
  </si>
  <si>
    <t>A986 Chada - Lifeline Bridges</t>
  </si>
  <si>
    <t>B8007 Glenmore Bridge</t>
  </si>
  <si>
    <t>B8005 Bridge Replacements - Lifeline Bridges (5)</t>
  </si>
  <si>
    <t>A855 Leasgary Bridge</t>
  </si>
  <si>
    <t>A861 Glenuig - Storm Damage</t>
  </si>
  <si>
    <t>Newhall Bridge (2015 January storms)</t>
  </si>
  <si>
    <t>Dulsie Bridge</t>
  </si>
  <si>
    <t>Park and Ride and Bus Priority Measures</t>
  </si>
  <si>
    <t>Flood Prevention</t>
  </si>
  <si>
    <t>Ness Flood Prevention Scheme including Streetscaping</t>
  </si>
  <si>
    <t>Flood Prevention Schemes</t>
  </si>
  <si>
    <t>Acharacle Flood Prevention</t>
  </si>
  <si>
    <t>River Enrick Flood Prevention, Drumnadrochit</t>
  </si>
  <si>
    <t>Dell Burn, Inverness Flood Study</t>
  </si>
  <si>
    <t>River Lochy - Caol Flood Scheme</t>
  </si>
  <si>
    <t>Mill Burn Flood Prevention</t>
  </si>
  <si>
    <t>Smithton / Culloden Flood Alleviation</t>
  </si>
  <si>
    <t>Feabuie (Near Balloch) Flood Alleviation</t>
  </si>
  <si>
    <t>Minor Flood Works</t>
  </si>
  <si>
    <t>Potentially Vulnerable Area : Flood Mitigation</t>
  </si>
  <si>
    <t>Waste Management</t>
  </si>
  <si>
    <t>Granish Landfill Site Restoration</t>
  </si>
  <si>
    <t>Crofthaugh Remedial Works to Landfill Site</t>
  </si>
  <si>
    <t>Refurbish Link Span - Uig</t>
  </si>
  <si>
    <t>Parks &amp; Play Areas - Development</t>
  </si>
  <si>
    <t>Strategic Asset Management</t>
  </si>
  <si>
    <t>SAM : Health &amp; Safety and Statutory Compliance Projects</t>
  </si>
  <si>
    <t>SAM : Property Rationalisation Review</t>
  </si>
  <si>
    <t>Wick Office Rationalisation</t>
  </si>
  <si>
    <t>Fort William Office Review</t>
  </si>
  <si>
    <t>Kingussie Office Rationalisation</t>
  </si>
  <si>
    <t>Non HRA Housing</t>
  </si>
  <si>
    <t>National Housing Trust</t>
  </si>
  <si>
    <t>Former Private Sector Housing Grant Funded from GCG</t>
  </si>
  <si>
    <t>Planning &amp; Development</t>
  </si>
  <si>
    <t>Town &amp; Countryside Regeneration - Visitor Management</t>
  </si>
  <si>
    <t>Town &amp; Countryside Regeneration - Misc Asset Bridges Structures</t>
  </si>
  <si>
    <t>Town &amp; Countryside Regeneration Programme</t>
  </si>
  <si>
    <t>Town &amp; Countryside Regeneration - Glenbrittle Footbridge, Carbost</t>
  </si>
  <si>
    <t>Income Generation - Wind Turbines - Funded from Savings</t>
  </si>
  <si>
    <t>Waste Strategy - Element funded from savings from investment</t>
  </si>
  <si>
    <t xml:space="preserve">C&amp;YP Act - Early Learning &amp; Childcare </t>
  </si>
  <si>
    <t>C&amp;YP Act - Households in Receipt of Benefits</t>
  </si>
  <si>
    <t>Free School Meals</t>
  </si>
  <si>
    <t xml:space="preserve">Cromarty Primary - Extension/Refurbishment </t>
  </si>
  <si>
    <t xml:space="preserve">Estate Strategy - Life Cycle Investment - Schools </t>
  </si>
  <si>
    <t xml:space="preserve">Estate Strategy - Roll Pressures / School Sufficiency &amp; Suitability </t>
  </si>
  <si>
    <t xml:space="preserve">ICT Investment </t>
  </si>
  <si>
    <t xml:space="preserve">Radon Remedial Works </t>
  </si>
  <si>
    <t>SSER - Inverness Schools</t>
  </si>
  <si>
    <t>SSER - Remaining Phases of Review</t>
  </si>
  <si>
    <t>SSER - Future Projects</t>
  </si>
  <si>
    <t xml:space="preserve">Torvean Golf Course </t>
  </si>
  <si>
    <t>Inshes District Park Phases 1 and 2 (expenditure dependent on developers' contributions funding)</t>
  </si>
  <si>
    <t>Canal Parks Enhancements</t>
  </si>
  <si>
    <t>Carbon Clever Community Grants</t>
  </si>
  <si>
    <t>Alexandra Bridge, Tain</t>
  </si>
  <si>
    <t>Inverness, Badenoch &amp; Strathspey Citizen’s Advice Bureau</t>
  </si>
  <si>
    <t>Capital Programme 2015/16-2023/24 - Corporate Development</t>
  </si>
  <si>
    <t>Secondary Schools - Retentions</t>
  </si>
  <si>
    <t>Primary Schools - Retentions</t>
  </si>
  <si>
    <t>Inverness Crematorium - Replacement Cremators</t>
  </si>
  <si>
    <t>War Memorials</t>
  </si>
  <si>
    <t>A890 Balnacra to Lair Rail Bridge</t>
  </si>
  <si>
    <t>Ruthven (Spey) Bridge - Lifeline Bridges</t>
  </si>
  <si>
    <t>Balmacaan - Drumnadrochit - Flood Alleviation</t>
  </si>
  <si>
    <t>Blairninch - Strathpeffer - Flooding</t>
  </si>
  <si>
    <t>River Gynack, Kingussie - Flooding</t>
  </si>
  <si>
    <t>Green Networks, Core Paths &amp; Long Distance Routes</t>
  </si>
  <si>
    <t>Waste Strategy - Plant, Infrastructure &amp; Banks</t>
  </si>
  <si>
    <t>A861 Sheil - Lifeline Bridges</t>
  </si>
  <si>
    <t>A831 Comar Refurbishment - Lifeline Bridges</t>
  </si>
  <si>
    <t>Waste Strategy - Landfill Capacity Extension Phase B&amp;C Seater</t>
  </si>
  <si>
    <t>Seater Landfill Restoration Programme</t>
  </si>
  <si>
    <t>2016/17 
Gross</t>
  </si>
  <si>
    <t>2017/18
Gross</t>
  </si>
  <si>
    <t>2018/19
Gross</t>
  </si>
  <si>
    <t>2019/20
Gross</t>
  </si>
  <si>
    <t>2020/21
Gross</t>
  </si>
  <si>
    <t>2021/22
Gross</t>
  </si>
  <si>
    <t>2022/23
Gross</t>
  </si>
  <si>
    <t>2023/24
Gross</t>
  </si>
  <si>
    <t xml:space="preserve">Travelling People Sites </t>
  </si>
  <si>
    <t>Capital Discretionary Fund (excluding 2015/16 transfers to Service budgets for expenditure on approved projects)</t>
  </si>
  <si>
    <t>Carbon Neutral Inverness in a Low Carbon Highlands (excluding 2015/16 transfers to Service budgets for expenditure on approved projects)</t>
  </si>
  <si>
    <t>2024/25
Gross</t>
  </si>
  <si>
    <t>Capital Programme 2015/16-2024/25 - Care &amp; Learning</t>
  </si>
  <si>
    <t>Capital Programme 2015/16-2024/25 - Chief Executive's Office</t>
  </si>
  <si>
    <t>Total for 2015/16 - 2024/25
Gross</t>
  </si>
  <si>
    <t>Capital Programme 2015/16-2024/25 - Community Services</t>
  </si>
  <si>
    <t>Capital Programme 2015/16-2024/25 - Development &amp; Infrastructure</t>
  </si>
  <si>
    <t>Capital Programme 2015/16-2024/25 - Carbon Clever</t>
  </si>
  <si>
    <t>Capital Programme 2015/16-2024/25 - Capital Discretionary Fund</t>
  </si>
  <si>
    <t xml:space="preserve">TOTAL </t>
  </si>
  <si>
    <t>Capital Programme 2015/16 - 2024/25</t>
  </si>
  <si>
    <t xml:space="preserve">Service Summary </t>
  </si>
  <si>
    <t>2015/16</t>
  </si>
  <si>
    <t>2016/17</t>
  </si>
  <si>
    <t>2017/18</t>
  </si>
  <si>
    <t>2018/19</t>
  </si>
  <si>
    <t>2019/20</t>
  </si>
  <si>
    <t>2015/16 Income</t>
  </si>
  <si>
    <t>2015/16 Net</t>
  </si>
  <si>
    <t>2016/17 Gross</t>
  </si>
  <si>
    <t>2016/17 Income</t>
  </si>
  <si>
    <t>2016/17 Net</t>
  </si>
  <si>
    <t>2017/18 Gross</t>
  </si>
  <si>
    <t>2017/18 Income</t>
  </si>
  <si>
    <t>2017/18 Net</t>
  </si>
  <si>
    <t>2018/19 Gross</t>
  </si>
  <si>
    <t>2018/19 Income</t>
  </si>
  <si>
    <t>2018/19 Net</t>
  </si>
  <si>
    <t>2019/20 Gross</t>
  </si>
  <si>
    <t>2019/20 Income</t>
  </si>
  <si>
    <t>2019/20 Net</t>
  </si>
  <si>
    <t>Care &amp; Learning</t>
  </si>
  <si>
    <t>Chief Executive's Office</t>
  </si>
  <si>
    <t>Corporate Development</t>
  </si>
  <si>
    <t>Community Services</t>
  </si>
  <si>
    <t>Development &amp; Infrastructure</t>
  </si>
  <si>
    <t>Carbon CLEVER</t>
  </si>
  <si>
    <t>Capital Discretionary Fund</t>
  </si>
  <si>
    <t>Total</t>
  </si>
  <si>
    <t>Overprogramming</t>
  </si>
  <si>
    <t>Total after Overprogramming</t>
  </si>
  <si>
    <t>2020/21</t>
  </si>
  <si>
    <t>2021/22</t>
  </si>
  <si>
    <t>2022/23</t>
  </si>
  <si>
    <t>2023/24</t>
  </si>
  <si>
    <t>2024/25</t>
  </si>
  <si>
    <t>2015/16-2024/25 Total</t>
  </si>
  <si>
    <t>2020/21 Gross</t>
  </si>
  <si>
    <t>2020/21 Income</t>
  </si>
  <si>
    <t>2020/21 Net</t>
  </si>
  <si>
    <t>2021/22 Gross</t>
  </si>
  <si>
    <t>2021/22 Income</t>
  </si>
  <si>
    <t>2021/22 Net</t>
  </si>
  <si>
    <t>2022/23 Gross</t>
  </si>
  <si>
    <t>2022/23 Income</t>
  </si>
  <si>
    <t>2022/23 Net</t>
  </si>
  <si>
    <t>2023/24 Gross</t>
  </si>
  <si>
    <t>2023/24 Income</t>
  </si>
  <si>
    <t>2023/24 Net</t>
  </si>
  <si>
    <t>2024/25 Gross</t>
  </si>
  <si>
    <t>2024/25  Income</t>
  </si>
  <si>
    <t>2024/25 Net</t>
  </si>
  <si>
    <t xml:space="preserve">
Total Gross</t>
  </si>
  <si>
    <t xml:space="preserve">
Total Income</t>
  </si>
  <si>
    <t xml:space="preserve">
Total 
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</si>
</sst>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;\-#,##0;\-"/>
    <numFmt numFmtId="166" formatCode="#,##0_ ;[Red]\-#,##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46">
    <xf numFmtId="0" fontId="0" fillId="0" borderId="0" xfId="0"/>
    <xf numFmtId="3" fontId="0" fillId="0" borderId="0" xfId="0" applyNumberFormat="1"/>
    <xf numFmtId="0" fontId="0" fillId="0" borderId="0" xfId="0" applyFill="1"/>
    <xf numFmtId="0" fontId="11" fillId="0" borderId="0" xfId="0" applyFont="1"/>
    <xf numFmtId="0" fontId="0" fillId="0" borderId="0" xfId="0" applyAlignment="1">
      <alignment wrapText="1"/>
    </xf>
    <xf numFmtId="0" fontId="0" fillId="0" borderId="5" xfId="0" applyBorder="1"/>
    <xf numFmtId="0" fontId="12" fillId="0" borderId="4" xfId="0" applyFont="1" applyBorder="1"/>
    <xf numFmtId="0" fontId="12" fillId="0" borderId="2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right"/>
    </xf>
    <xf numFmtId="0" fontId="12" fillId="0" borderId="0" xfId="0" applyFont="1"/>
    <xf numFmtId="3" fontId="0" fillId="0" borderId="5" xfId="0" applyNumberFormat="1" applyBorder="1" applyAlignment="1">
      <alignment horizontal="right"/>
    </xf>
    <xf numFmtId="164" fontId="0" fillId="0" borderId="0" xfId="0" applyNumberFormat="1"/>
    <xf numFmtId="3" fontId="0" fillId="0" borderId="5" xfId="0" applyNumberFormat="1" applyBorder="1"/>
    <xf numFmtId="41" fontId="0" fillId="0" borderId="5" xfId="1" applyNumberFormat="1" applyFont="1" applyBorder="1"/>
    <xf numFmtId="41" fontId="0" fillId="0" borderId="0" xfId="0" applyNumberFormat="1"/>
    <xf numFmtId="164" fontId="0" fillId="0" borderId="5" xfId="1" applyNumberFormat="1" applyFont="1" applyBorder="1"/>
    <xf numFmtId="164" fontId="10" fillId="0" borderId="3" xfId="1" applyNumberFormat="1" applyFont="1" applyBorder="1"/>
    <xf numFmtId="164" fontId="10" fillId="0" borderId="0" xfId="1" applyNumberFormat="1" applyFont="1" applyBorder="1"/>
    <xf numFmtId="164" fontId="10" fillId="0" borderId="1" xfId="1" applyNumberFormat="1" applyFont="1" applyBorder="1"/>
    <xf numFmtId="164" fontId="0" fillId="0" borderId="0" xfId="1" applyNumberFormat="1" applyFont="1"/>
    <xf numFmtId="41" fontId="0" fillId="0" borderId="0" xfId="1" applyNumberFormat="1" applyFont="1"/>
    <xf numFmtId="3" fontId="0" fillId="0" borderId="0" xfId="0" applyNumberFormat="1" applyFill="1"/>
    <xf numFmtId="0" fontId="0" fillId="0" borderId="0" xfId="0" applyAlignment="1"/>
    <xf numFmtId="0" fontId="13" fillId="2" borderId="0" xfId="0" applyFont="1" applyFill="1"/>
    <xf numFmtId="0" fontId="0" fillId="2" borderId="0" xfId="0" applyFill="1"/>
    <xf numFmtId="0" fontId="13" fillId="0" borderId="0" xfId="0" applyFont="1" applyFill="1"/>
    <xf numFmtId="0" fontId="11" fillId="0" borderId="0" xfId="3" applyFont="1"/>
    <xf numFmtId="0" fontId="14" fillId="0" borderId="0" xfId="3"/>
    <xf numFmtId="0" fontId="13" fillId="0" borderId="0" xfId="3" applyFont="1" applyFill="1"/>
    <xf numFmtId="0" fontId="14" fillId="0" borderId="0" xfId="3" applyFill="1"/>
    <xf numFmtId="0" fontId="14" fillId="0" borderId="5" xfId="3" applyBorder="1"/>
    <xf numFmtId="0" fontId="12" fillId="0" borderId="4" xfId="3" applyFont="1" applyBorder="1"/>
    <xf numFmtId="0" fontId="12" fillId="0" borderId="2" xfId="3" applyFont="1" applyBorder="1" applyAlignment="1">
      <alignment horizontal="right" wrapText="1"/>
    </xf>
    <xf numFmtId="0" fontId="12" fillId="0" borderId="4" xfId="3" applyFont="1" applyBorder="1" applyAlignment="1">
      <alignment horizontal="right" wrapText="1"/>
    </xf>
    <xf numFmtId="0" fontId="12" fillId="0" borderId="4" xfId="3" applyFont="1" applyBorder="1" applyAlignment="1">
      <alignment horizontal="left" wrapText="1"/>
    </xf>
    <xf numFmtId="0" fontId="12" fillId="0" borderId="6" xfId="3" applyFont="1" applyBorder="1" applyAlignment="1">
      <alignment horizontal="left" wrapText="1"/>
    </xf>
    <xf numFmtId="0" fontId="12" fillId="0" borderId="5" xfId="3" applyFont="1" applyBorder="1" applyAlignment="1">
      <alignment horizontal="right"/>
    </xf>
    <xf numFmtId="3" fontId="14" fillId="0" borderId="5" xfId="3" applyNumberFormat="1" applyBorder="1" applyAlignment="1">
      <alignment horizontal="right"/>
    </xf>
    <xf numFmtId="164" fontId="14" fillId="0" borderId="0" xfId="3" applyNumberFormat="1"/>
    <xf numFmtId="0" fontId="14" fillId="0" borderId="0" xfId="3" applyAlignment="1">
      <alignment wrapText="1"/>
    </xf>
    <xf numFmtId="3" fontId="14" fillId="0" borderId="5" xfId="3" applyNumberFormat="1" applyBorder="1"/>
    <xf numFmtId="0" fontId="14" fillId="0" borderId="0" xfId="3" applyAlignment="1"/>
    <xf numFmtId="41" fontId="14" fillId="0" borderId="5" xfId="2" applyNumberFormat="1" applyFont="1" applyBorder="1"/>
    <xf numFmtId="41" fontId="14" fillId="0" borderId="0" xfId="3" applyNumberFormat="1"/>
    <xf numFmtId="164" fontId="14" fillId="0" borderId="5" xfId="2" applyNumberFormat="1" applyFont="1" applyBorder="1"/>
    <xf numFmtId="3" fontId="14" fillId="0" borderId="0" xfId="3" applyNumberFormat="1" applyFill="1"/>
    <xf numFmtId="164" fontId="10" fillId="0" borderId="3" xfId="2" applyNumberFormat="1" applyFont="1" applyBorder="1"/>
    <xf numFmtId="164" fontId="10" fillId="0" borderId="0" xfId="2" applyNumberFormat="1" applyFont="1" applyBorder="1"/>
    <xf numFmtId="3" fontId="14" fillId="0" borderId="0" xfId="3" applyNumberFormat="1"/>
    <xf numFmtId="41" fontId="14" fillId="0" borderId="0" xfId="2" applyNumberFormat="1" applyFont="1"/>
    <xf numFmtId="0" fontId="0" fillId="0" borderId="0" xfId="3" applyFont="1" applyAlignment="1">
      <alignment wrapText="1"/>
    </xf>
    <xf numFmtId="0" fontId="10" fillId="0" borderId="0" xfId="0" applyFont="1" applyBorder="1"/>
    <xf numFmtId="165" fontId="10" fillId="0" borderId="0" xfId="0" applyNumberFormat="1" applyFont="1" applyBorder="1"/>
    <xf numFmtId="0" fontId="15" fillId="0" borderId="0" xfId="0" applyFont="1" applyBorder="1"/>
    <xf numFmtId="0" fontId="8" fillId="0" borderId="18" xfId="4" applyFont="1" applyFill="1" applyBorder="1" applyAlignment="1">
      <alignment horizontal="left" vertical="center" wrapText="1" indent="1"/>
    </xf>
    <xf numFmtId="0" fontId="8" fillId="0" borderId="18" xfId="4" applyFont="1" applyBorder="1" applyAlignment="1">
      <alignment horizontal="left" vertical="center" indent="1"/>
    </xf>
    <xf numFmtId="0" fontId="8" fillId="0" borderId="0" xfId="0" applyFont="1" applyBorder="1"/>
    <xf numFmtId="165" fontId="10" fillId="0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10" fillId="0" borderId="8" xfId="4" quotePrefix="1" applyNumberFormat="1" applyFont="1" applyFill="1" applyBorder="1" applyAlignment="1">
      <alignment horizontal="center" wrapText="1"/>
    </xf>
    <xf numFmtId="165" fontId="10" fillId="3" borderId="28" xfId="4" quotePrefix="1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165" fontId="10" fillId="3" borderId="21" xfId="4" applyNumberFormat="1" applyFont="1" applyFill="1" applyBorder="1" applyAlignment="1">
      <alignment vertical="center"/>
    </xf>
    <xf numFmtId="0" fontId="8" fillId="0" borderId="0" xfId="0" applyFont="1" applyFill="1" applyBorder="1"/>
    <xf numFmtId="0" fontId="18" fillId="0" borderId="0" xfId="0" applyFont="1" applyBorder="1"/>
    <xf numFmtId="165" fontId="10" fillId="0" borderId="29" xfId="0" applyNumberFormat="1" applyFont="1" applyFill="1" applyBorder="1" applyAlignment="1">
      <alignment vertical="center"/>
    </xf>
    <xf numFmtId="165" fontId="10" fillId="0" borderId="29" xfId="4" applyNumberFormat="1" applyFont="1" applyFill="1" applyBorder="1" applyAlignment="1">
      <alignment vertical="center"/>
    </xf>
    <xf numFmtId="0" fontId="18" fillId="0" borderId="0" xfId="0" applyFont="1" applyFill="1" applyBorder="1"/>
    <xf numFmtId="0" fontId="19" fillId="0" borderId="0" xfId="0" applyFont="1" applyBorder="1"/>
    <xf numFmtId="0" fontId="19" fillId="0" borderId="0" xfId="0" applyFont="1" applyFill="1" applyBorder="1"/>
    <xf numFmtId="0" fontId="10" fillId="3" borderId="7" xfId="0" applyFont="1" applyFill="1" applyBorder="1" applyAlignment="1">
      <alignment horizontal="left" vertical="center" indent="1"/>
    </xf>
    <xf numFmtId="165" fontId="10" fillId="3" borderId="13" xfId="0" applyNumberFormat="1" applyFont="1" applyFill="1" applyBorder="1" applyAlignment="1">
      <alignment vertical="center"/>
    </xf>
    <xf numFmtId="165" fontId="10" fillId="3" borderId="20" xfId="0" applyNumberFormat="1" applyFont="1" applyFill="1" applyBorder="1" applyAlignment="1">
      <alignment vertical="center"/>
    </xf>
    <xf numFmtId="0" fontId="15" fillId="0" borderId="0" xfId="4" applyFont="1" applyBorder="1"/>
    <xf numFmtId="0" fontId="8" fillId="0" borderId="0" xfId="4" applyFont="1" applyBorder="1"/>
    <xf numFmtId="165" fontId="10" fillId="0" borderId="0" xfId="4" applyNumberFormat="1" applyFont="1" applyBorder="1"/>
    <xf numFmtId="0" fontId="10" fillId="0" borderId="0" xfId="4" applyFont="1" applyBorder="1"/>
    <xf numFmtId="0" fontId="11" fillId="0" borderId="0" xfId="4" applyFont="1" applyBorder="1" applyAlignment="1">
      <alignment horizontal="center"/>
    </xf>
    <xf numFmtId="165" fontId="10" fillId="0" borderId="31" xfId="4" applyNumberFormat="1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165" fontId="10" fillId="3" borderId="13" xfId="4" applyNumberFormat="1" applyFont="1" applyFill="1" applyBorder="1" applyAlignment="1">
      <alignment vertical="center"/>
    </xf>
    <xf numFmtId="165" fontId="10" fillId="3" borderId="14" xfId="4" applyNumberFormat="1" applyFont="1" applyFill="1" applyBorder="1" applyAlignment="1">
      <alignment vertical="center"/>
    </xf>
    <xf numFmtId="0" fontId="10" fillId="0" borderId="0" xfId="4" applyFont="1" applyFill="1" applyBorder="1"/>
    <xf numFmtId="165" fontId="10" fillId="0" borderId="0" xfId="4" applyNumberFormat="1" applyFont="1" applyBorder="1" applyAlignment="1">
      <alignment horizontal="center"/>
    </xf>
    <xf numFmtId="0" fontId="10" fillId="0" borderId="18" xfId="4" applyFont="1" applyBorder="1" applyAlignment="1">
      <alignment horizontal="left" indent="1"/>
    </xf>
    <xf numFmtId="0" fontId="22" fillId="0" borderId="0" xfId="4" applyFont="1" applyBorder="1"/>
    <xf numFmtId="0" fontId="10" fillId="0" borderId="18" xfId="4" applyFont="1" applyBorder="1" applyAlignment="1">
      <alignment horizontal="left" vertical="center" indent="1"/>
    </xf>
    <xf numFmtId="165" fontId="10" fillId="0" borderId="17" xfId="4" applyNumberFormat="1" applyFont="1" applyBorder="1" applyAlignment="1">
      <alignment vertical="center"/>
    </xf>
    <xf numFmtId="165" fontId="10" fillId="0" borderId="29" xfId="4" applyNumberFormat="1" applyFont="1" applyBorder="1" applyAlignment="1">
      <alignment vertical="center"/>
    </xf>
    <xf numFmtId="0" fontId="19" fillId="0" borderId="0" xfId="4" applyFont="1" applyBorder="1"/>
    <xf numFmtId="0" fontId="8" fillId="0" borderId="0" xfId="4" applyBorder="1"/>
    <xf numFmtId="0" fontId="8" fillId="0" borderId="0" xfId="4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7" xfId="0" applyFont="1" applyFill="1" applyBorder="1"/>
    <xf numFmtId="165" fontId="10" fillId="3" borderId="21" xfId="0" applyNumberFormat="1" applyFont="1" applyFill="1" applyBorder="1" applyAlignment="1">
      <alignment vertical="center"/>
    </xf>
    <xf numFmtId="0" fontId="8" fillId="0" borderId="27" xfId="0" applyFont="1" applyBorder="1"/>
    <xf numFmtId="0" fontId="8" fillId="0" borderId="27" xfId="0" applyFont="1" applyFill="1" applyBorder="1"/>
    <xf numFmtId="0" fontId="18" fillId="0" borderId="27" xfId="0" applyFont="1" applyBorder="1"/>
    <xf numFmtId="0" fontId="19" fillId="0" borderId="27" xfId="0" applyFont="1" applyBorder="1"/>
    <xf numFmtId="0" fontId="19" fillId="0" borderId="27" xfId="0" applyFont="1" applyFill="1" applyBorder="1"/>
    <xf numFmtId="165" fontId="10" fillId="0" borderId="12" xfId="4" quotePrefix="1" applyNumberFormat="1" applyFont="1" applyFill="1" applyBorder="1" applyAlignment="1">
      <alignment horizontal="center" wrapText="1"/>
    </xf>
    <xf numFmtId="165" fontId="10" fillId="0" borderId="19" xfId="4" applyNumberFormat="1" applyFont="1" applyFill="1" applyBorder="1" applyAlignment="1">
      <alignment vertical="center"/>
    </xf>
    <xf numFmtId="165" fontId="20" fillId="0" borderId="19" xfId="4" applyNumberFormat="1" applyFont="1" applyFill="1" applyBorder="1" applyAlignment="1">
      <alignment vertical="center"/>
    </xf>
    <xf numFmtId="165" fontId="21" fillId="0" borderId="19" xfId="4" applyNumberFormat="1" applyFont="1" applyFill="1" applyBorder="1" applyAlignment="1">
      <alignment vertical="center"/>
    </xf>
    <xf numFmtId="165" fontId="10" fillId="0" borderId="10" xfId="4" applyNumberFormat="1" applyFont="1" applyFill="1" applyBorder="1" applyAlignment="1">
      <alignment vertical="center"/>
    </xf>
    <xf numFmtId="165" fontId="10" fillId="3" borderId="20" xfId="4" applyNumberFormat="1" applyFont="1" applyFill="1" applyBorder="1" applyAlignment="1">
      <alignment vertical="center"/>
    </xf>
    <xf numFmtId="165" fontId="23" fillId="0" borderId="19" xfId="4" applyNumberFormat="1" applyFont="1" applyFill="1" applyBorder="1" applyAlignment="1">
      <alignment vertical="center"/>
    </xf>
    <xf numFmtId="165" fontId="10" fillId="0" borderId="19" xfId="4" applyNumberFormat="1" applyFont="1" applyBorder="1" applyAlignment="1">
      <alignment vertical="center"/>
    </xf>
    <xf numFmtId="0" fontId="18" fillId="0" borderId="19" xfId="0" applyFont="1" applyFill="1" applyBorder="1"/>
    <xf numFmtId="0" fontId="8" fillId="0" borderId="19" xfId="0" applyFont="1" applyFill="1" applyBorder="1"/>
    <xf numFmtId="0" fontId="10" fillId="0" borderId="27" xfId="4" applyFont="1" applyBorder="1" applyAlignment="1">
      <alignment horizontal="center"/>
    </xf>
    <xf numFmtId="0" fontId="10" fillId="0" borderId="27" xfId="4" applyFont="1" applyFill="1" applyBorder="1"/>
    <xf numFmtId="0" fontId="8" fillId="0" borderId="27" xfId="4" applyFont="1" applyBorder="1"/>
    <xf numFmtId="0" fontId="8" fillId="0" borderId="27" xfId="4" applyFont="1" applyFill="1" applyBorder="1"/>
    <xf numFmtId="0" fontId="18" fillId="0" borderId="27" xfId="4" applyFont="1" applyBorder="1"/>
    <xf numFmtId="0" fontId="19" fillId="0" borderId="27" xfId="4" applyFont="1" applyBorder="1"/>
    <xf numFmtId="0" fontId="8" fillId="0" borderId="0" xfId="10" applyFont="1" applyBorder="1"/>
    <xf numFmtId="165" fontId="10" fillId="0" borderId="0" xfId="10" applyNumberFormat="1" applyFont="1" applyBorder="1"/>
    <xf numFmtId="0" fontId="10" fillId="0" borderId="15" xfId="10" applyFont="1" applyBorder="1" applyAlignment="1">
      <alignment horizontal="center"/>
    </xf>
    <xf numFmtId="0" fontId="10" fillId="0" borderId="15" xfId="10" applyFont="1" applyFill="1" applyBorder="1"/>
    <xf numFmtId="165" fontId="10" fillId="3" borderId="21" xfId="10" applyNumberFormat="1" applyFont="1" applyFill="1" applyBorder="1" applyAlignment="1">
      <alignment vertical="center"/>
    </xf>
    <xf numFmtId="0" fontId="8" fillId="0" borderId="15" xfId="10" applyFont="1" applyBorder="1"/>
    <xf numFmtId="0" fontId="8" fillId="0" borderId="15" xfId="10" applyFont="1" applyFill="1" applyBorder="1"/>
    <xf numFmtId="0" fontId="18" fillId="0" borderId="15" xfId="10" applyFont="1" applyBorder="1"/>
    <xf numFmtId="0" fontId="18" fillId="0" borderId="15" xfId="10" applyFont="1" applyFill="1" applyBorder="1"/>
    <xf numFmtId="0" fontId="19" fillId="0" borderId="15" xfId="10" applyFont="1" applyBorder="1"/>
    <xf numFmtId="0" fontId="19" fillId="0" borderId="15" xfId="10" applyFont="1" applyFill="1" applyBorder="1"/>
    <xf numFmtId="3" fontId="15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165" fontId="21" fillId="0" borderId="0" xfId="0" applyNumberFormat="1" applyFont="1" applyBorder="1" applyAlignment="1"/>
    <xf numFmtId="165" fontId="21" fillId="0" borderId="0" xfId="0" applyNumberFormat="1" applyFont="1" applyFill="1" applyBorder="1" applyAlignment="1"/>
    <xf numFmtId="165" fontId="21" fillId="0" borderId="0" xfId="4" applyNumberFormat="1" applyFont="1" applyBorder="1"/>
    <xf numFmtId="0" fontId="10" fillId="0" borderId="11" xfId="0" applyFont="1" applyFill="1" applyBorder="1" applyAlignment="1">
      <alignment horizontal="left" wrapText="1" indent="1"/>
    </xf>
    <xf numFmtId="0" fontId="10" fillId="0" borderId="18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166" fontId="8" fillId="0" borderId="18" xfId="9" applyNumberFormat="1" applyFont="1" applyFill="1" applyBorder="1" applyAlignment="1">
      <alignment horizontal="left" vertical="center" indent="1"/>
    </xf>
    <xf numFmtId="0" fontId="10" fillId="0" borderId="11" xfId="4" applyFont="1" applyFill="1" applyBorder="1" applyAlignment="1">
      <alignment horizontal="left" wrapText="1" indent="1"/>
    </xf>
    <xf numFmtId="0" fontId="8" fillId="0" borderId="18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165" fontId="10" fillId="0" borderId="26" xfId="4" applyNumberFormat="1" applyFont="1" applyFill="1" applyBorder="1" applyAlignment="1">
      <alignment vertical="center"/>
    </xf>
    <xf numFmtId="0" fontId="18" fillId="0" borderId="32" xfId="0" applyFont="1" applyFill="1" applyBorder="1"/>
    <xf numFmtId="165" fontId="10" fillId="3" borderId="27" xfId="4" applyNumberFormat="1" applyFont="1" applyFill="1" applyBorder="1" applyAlignment="1">
      <alignment vertical="center"/>
    </xf>
    <xf numFmtId="0" fontId="8" fillId="0" borderId="32" xfId="0" applyFont="1" applyFill="1" applyBorder="1"/>
    <xf numFmtId="0" fontId="10" fillId="0" borderId="11" xfId="4" applyFont="1" applyFill="1" applyBorder="1" applyAlignment="1">
      <alignment horizontal="center" wrapText="1"/>
    </xf>
    <xf numFmtId="0" fontId="8" fillId="0" borderId="9" xfId="4" applyFont="1" applyFill="1" applyBorder="1" applyAlignment="1">
      <alignment horizontal="left" vertical="center" indent="1"/>
    </xf>
    <xf numFmtId="0" fontId="8" fillId="0" borderId="18" xfId="4" applyFont="1" applyFill="1" applyBorder="1" applyAlignment="1">
      <alignment horizontal="left" vertical="center" indent="1"/>
    </xf>
    <xf numFmtId="0" fontId="8" fillId="0" borderId="18" xfId="4" applyFont="1" applyFill="1" applyBorder="1" applyAlignment="1">
      <alignment vertical="center"/>
    </xf>
    <xf numFmtId="0" fontId="10" fillId="0" borderId="18" xfId="4" applyFont="1" applyBorder="1"/>
    <xf numFmtId="0" fontId="10" fillId="0" borderId="33" xfId="0" applyFont="1" applyFill="1" applyBorder="1" applyAlignment="1">
      <alignment horizontal="left" wrapText="1" indent="1"/>
    </xf>
    <xf numFmtId="165" fontId="10" fillId="0" borderId="23" xfId="4" quotePrefix="1" applyNumberFormat="1" applyFont="1" applyFill="1" applyBorder="1" applyAlignment="1">
      <alignment horizontal="center" wrapText="1"/>
    </xf>
    <xf numFmtId="165" fontId="10" fillId="0" borderId="24" xfId="4" quotePrefix="1" applyNumberFormat="1" applyFont="1" applyFill="1" applyBorder="1" applyAlignment="1">
      <alignment horizontal="center" wrapText="1"/>
    </xf>
    <xf numFmtId="165" fontId="10" fillId="3" borderId="25" xfId="4" quotePrefix="1" applyNumberFormat="1" applyFont="1" applyFill="1" applyBorder="1" applyAlignment="1">
      <alignment horizontal="center" wrapText="1"/>
    </xf>
    <xf numFmtId="0" fontId="10" fillId="0" borderId="9" xfId="4" applyFont="1" applyFill="1" applyBorder="1" applyAlignment="1">
      <alignment horizontal="left" vertical="center" indent="1"/>
    </xf>
    <xf numFmtId="0" fontId="10" fillId="0" borderId="33" xfId="4" applyFont="1" applyFill="1" applyBorder="1" applyAlignment="1">
      <alignment horizontal="left" wrapText="1" indent="1"/>
    </xf>
    <xf numFmtId="165" fontId="10" fillId="0" borderId="0" xfId="4" quotePrefix="1" applyNumberFormat="1" applyFont="1" applyBorder="1" applyAlignment="1">
      <alignment horizontal="center"/>
    </xf>
    <xf numFmtId="0" fontId="10" fillId="0" borderId="33" xfId="1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center" indent="1"/>
    </xf>
    <xf numFmtId="165" fontId="10" fillId="0" borderId="35" xfId="4" quotePrefix="1" applyNumberFormat="1" applyFont="1" applyFill="1" applyBorder="1" applyAlignment="1">
      <alignment horizontal="center" wrapText="1"/>
    </xf>
    <xf numFmtId="165" fontId="10" fillId="0" borderId="2" xfId="4" quotePrefix="1" applyNumberFormat="1" applyFont="1" applyFill="1" applyBorder="1" applyAlignment="1">
      <alignment horizontal="center" wrapText="1"/>
    </xf>
    <xf numFmtId="165" fontId="10" fillId="0" borderId="30" xfId="4" applyNumberFormat="1" applyFont="1" applyFill="1" applyBorder="1" applyAlignment="1">
      <alignment vertical="center"/>
    </xf>
    <xf numFmtId="165" fontId="20" fillId="0" borderId="30" xfId="4" applyNumberFormat="1" applyFont="1" applyFill="1" applyBorder="1" applyAlignment="1">
      <alignment vertical="center"/>
    </xf>
    <xf numFmtId="165" fontId="21" fillId="0" borderId="30" xfId="4" applyNumberFormat="1" applyFont="1" applyFill="1" applyBorder="1" applyAlignment="1">
      <alignment vertical="center"/>
    </xf>
    <xf numFmtId="165" fontId="10" fillId="3" borderId="16" xfId="0" applyNumberFormat="1" applyFont="1" applyFill="1" applyBorder="1" applyAlignment="1">
      <alignment vertical="center"/>
    </xf>
    <xf numFmtId="0" fontId="18" fillId="0" borderId="30" xfId="0" applyFont="1" applyFill="1" applyBorder="1"/>
    <xf numFmtId="0" fontId="8" fillId="0" borderId="30" xfId="0" applyFont="1" applyFill="1" applyBorder="1"/>
    <xf numFmtId="0" fontId="8" fillId="0" borderId="5" xfId="0" applyFont="1" applyFill="1" applyBorder="1"/>
    <xf numFmtId="165" fontId="10" fillId="3" borderId="16" xfId="4" applyNumberFormat="1" applyFont="1" applyFill="1" applyBorder="1" applyAlignment="1">
      <alignment vertical="center"/>
    </xf>
    <xf numFmtId="0" fontId="18" fillId="0" borderId="5" xfId="0" applyFont="1" applyFill="1" applyBorder="1"/>
    <xf numFmtId="165" fontId="10" fillId="0" borderId="0" xfId="4" applyNumberFormat="1" applyFont="1" applyFill="1" applyBorder="1" applyAlignment="1">
      <alignment vertical="center"/>
    </xf>
    <xf numFmtId="165" fontId="10" fillId="0" borderId="22" xfId="4" applyNumberFormat="1" applyFont="1" applyFill="1" applyBorder="1" applyAlignment="1">
      <alignment vertical="center"/>
    </xf>
    <xf numFmtId="165" fontId="23" fillId="0" borderId="30" xfId="4" applyNumberFormat="1" applyFont="1" applyFill="1" applyBorder="1" applyAlignment="1">
      <alignment vertical="center"/>
    </xf>
    <xf numFmtId="165" fontId="10" fillId="0" borderId="30" xfId="4" applyNumberFormat="1" applyFont="1" applyBorder="1" applyAlignment="1">
      <alignment vertical="center"/>
    </xf>
    <xf numFmtId="0" fontId="8" fillId="0" borderId="0" xfId="4" applyFont="1" applyFill="1" applyBorder="1"/>
    <xf numFmtId="165" fontId="8" fillId="0" borderId="0" xfId="4" applyNumberFormat="1" applyFont="1" applyBorder="1"/>
    <xf numFmtId="0" fontId="8" fillId="0" borderId="18" xfId="4" applyFont="1" applyBorder="1"/>
    <xf numFmtId="165" fontId="8" fillId="0" borderId="29" xfId="4" applyNumberFormat="1" applyFont="1" applyBorder="1" applyAlignment="1">
      <alignment vertical="center"/>
    </xf>
    <xf numFmtId="165" fontId="8" fillId="0" borderId="30" xfId="4" applyNumberFormat="1" applyFont="1" applyBorder="1" applyAlignment="1">
      <alignment vertical="center"/>
    </xf>
    <xf numFmtId="165" fontId="8" fillId="0" borderId="19" xfId="4" applyNumberFormat="1" applyFont="1" applyBorder="1" applyAlignment="1">
      <alignment vertical="center"/>
    </xf>
    <xf numFmtId="165" fontId="8" fillId="3" borderId="21" xfId="4" applyNumberFormat="1" applyFont="1" applyFill="1" applyBorder="1" applyAlignment="1">
      <alignment vertical="center"/>
    </xf>
    <xf numFmtId="0" fontId="15" fillId="0" borderId="0" xfId="0" applyFont="1" applyFill="1" applyBorder="1"/>
    <xf numFmtId="165" fontId="8" fillId="0" borderId="0" xfId="0" applyNumberFormat="1" applyFont="1" applyFill="1" applyBorder="1"/>
    <xf numFmtId="0" fontId="0" fillId="0" borderId="0" xfId="0" applyFill="1" applyBorder="1"/>
    <xf numFmtId="3" fontId="15" fillId="0" borderId="0" xfId="0" applyNumberFormat="1" applyFont="1" applyAlignment="1">
      <alignment horizontal="right"/>
    </xf>
    <xf numFmtId="0" fontId="24" fillId="0" borderId="0" xfId="0" applyFont="1" applyFill="1" applyBorder="1"/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5" fontId="10" fillId="0" borderId="9" xfId="0" quotePrefix="1" applyNumberFormat="1" applyFont="1" applyFill="1" applyBorder="1" applyAlignment="1">
      <alignment horizontal="center" wrapText="1"/>
    </xf>
    <xf numFmtId="165" fontId="10" fillId="0" borderId="17" xfId="0" quotePrefix="1" applyNumberFormat="1" applyFont="1" applyFill="1" applyBorder="1" applyAlignment="1">
      <alignment horizontal="center" wrapText="1"/>
    </xf>
    <xf numFmtId="165" fontId="10" fillId="0" borderId="10" xfId="0" quotePrefix="1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left" wrapText="1" indent="1"/>
    </xf>
    <xf numFmtId="0" fontId="25" fillId="0" borderId="4" xfId="0" applyFont="1" applyFill="1" applyBorder="1" applyAlignment="1">
      <alignment horizontal="left" wrapText="1" indent="1"/>
    </xf>
    <xf numFmtId="165" fontId="10" fillId="0" borderId="11" xfId="0" quotePrefix="1" applyNumberFormat="1" applyFont="1" applyFill="1" applyBorder="1" applyAlignment="1">
      <alignment horizontal="center" wrapText="1"/>
    </xf>
    <xf numFmtId="165" fontId="10" fillId="0" borderId="8" xfId="0" quotePrefix="1" applyNumberFormat="1" applyFont="1" applyFill="1" applyBorder="1" applyAlignment="1">
      <alignment horizontal="center" wrapText="1"/>
    </xf>
    <xf numFmtId="165" fontId="10" fillId="0" borderId="12" xfId="0" quotePrefix="1" applyNumberFormat="1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left" vertical="center" indent="1"/>
    </xf>
    <xf numFmtId="0" fontId="26" fillId="0" borderId="3" xfId="0" applyFont="1" applyFill="1" applyBorder="1" applyAlignment="1">
      <alignment horizontal="left" vertical="center"/>
    </xf>
    <xf numFmtId="165" fontId="8" fillId="0" borderId="18" xfId="0" applyNumberFormat="1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indent="1"/>
    </xf>
    <xf numFmtId="0" fontId="10" fillId="0" borderId="44" xfId="0" applyFont="1" applyFill="1" applyBorder="1" applyAlignment="1">
      <alignment horizontal="left" vertical="center"/>
    </xf>
    <xf numFmtId="165" fontId="10" fillId="0" borderId="45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>
      <alignment vertical="center"/>
    </xf>
    <xf numFmtId="165" fontId="10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indent="1"/>
    </xf>
    <xf numFmtId="0" fontId="8" fillId="0" borderId="47" xfId="0" applyFont="1" applyFill="1" applyBorder="1" applyAlignment="1">
      <alignment horizontal="left" vertical="center"/>
    </xf>
    <xf numFmtId="165" fontId="8" fillId="0" borderId="9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vertical="center"/>
    </xf>
    <xf numFmtId="165" fontId="10" fillId="3" borderId="9" xfId="0" quotePrefix="1" applyNumberFormat="1" applyFont="1" applyFill="1" applyBorder="1" applyAlignment="1">
      <alignment horizontal="center" wrapText="1"/>
    </xf>
    <xf numFmtId="165" fontId="10" fillId="3" borderId="17" xfId="0" quotePrefix="1" applyNumberFormat="1" applyFont="1" applyFill="1" applyBorder="1" applyAlignment="1">
      <alignment horizontal="center" wrapText="1"/>
    </xf>
    <xf numFmtId="165" fontId="10" fillId="3" borderId="10" xfId="0" quotePrefix="1" applyNumberFormat="1" applyFont="1" applyFill="1" applyBorder="1" applyAlignment="1">
      <alignment horizontal="center" wrapText="1"/>
    </xf>
    <xf numFmtId="165" fontId="10" fillId="3" borderId="11" xfId="0" quotePrefix="1" applyNumberFormat="1" applyFont="1" applyFill="1" applyBorder="1" applyAlignment="1">
      <alignment horizontal="center" wrapText="1"/>
    </xf>
    <xf numFmtId="165" fontId="10" fillId="3" borderId="8" xfId="0" quotePrefix="1" applyNumberFormat="1" applyFont="1" applyFill="1" applyBorder="1" applyAlignment="1">
      <alignment horizontal="center" wrapText="1"/>
    </xf>
    <xf numFmtId="165" fontId="10" fillId="3" borderId="12" xfId="0" quotePrefix="1" applyNumberFormat="1" applyFont="1" applyFill="1" applyBorder="1" applyAlignment="1">
      <alignment horizontal="center" wrapText="1"/>
    </xf>
    <xf numFmtId="165" fontId="8" fillId="3" borderId="18" xfId="0" applyNumberFormat="1" applyFont="1" applyFill="1" applyBorder="1" applyAlignment="1">
      <alignment vertical="center"/>
    </xf>
    <xf numFmtId="165" fontId="8" fillId="3" borderId="48" xfId="0" applyNumberFormat="1" applyFont="1" applyFill="1" applyBorder="1" applyAlignment="1">
      <alignment vertical="center"/>
    </xf>
    <xf numFmtId="165" fontId="8" fillId="3" borderId="19" xfId="0" applyNumberFormat="1" applyFont="1" applyFill="1" applyBorder="1" applyAlignment="1">
      <alignment vertical="center"/>
    </xf>
    <xf numFmtId="165" fontId="10" fillId="3" borderId="45" xfId="0" applyNumberFormat="1" applyFont="1" applyFill="1" applyBorder="1" applyAlignment="1">
      <alignment vertical="center"/>
    </xf>
    <xf numFmtId="165" fontId="10" fillId="3" borderId="49" xfId="0" applyNumberFormat="1" applyFont="1" applyFill="1" applyBorder="1" applyAlignment="1">
      <alignment vertical="center"/>
    </xf>
    <xf numFmtId="165" fontId="10" fillId="3" borderId="1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25" fillId="0" borderId="41" xfId="0" applyFont="1" applyFill="1" applyBorder="1" applyAlignment="1">
      <alignment horizontal="left" wrapText="1" indent="1"/>
    </xf>
    <xf numFmtId="0" fontId="25" fillId="0" borderId="0" xfId="0" applyFont="1" applyFill="1" applyBorder="1" applyAlignment="1">
      <alignment horizontal="left" wrapText="1" indent="1"/>
    </xf>
    <xf numFmtId="165" fontId="10" fillId="0" borderId="38" xfId="0" quotePrefix="1" applyNumberFormat="1" applyFont="1" applyFill="1" applyBorder="1" applyAlignment="1">
      <alignment horizontal="center" vertical="center"/>
    </xf>
    <xf numFmtId="165" fontId="10" fillId="0" borderId="39" xfId="0" applyNumberFormat="1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center" vertical="center"/>
    </xf>
    <xf numFmtId="165" fontId="10" fillId="3" borderId="38" xfId="0" quotePrefix="1" applyNumberFormat="1" applyFont="1" applyFill="1" applyBorder="1" applyAlignment="1">
      <alignment horizontal="center" vertical="center"/>
    </xf>
    <xf numFmtId="165" fontId="10" fillId="3" borderId="39" xfId="0" applyNumberFormat="1" applyFont="1" applyFill="1" applyBorder="1" applyAlignment="1">
      <alignment horizontal="center" vertical="center"/>
    </xf>
    <xf numFmtId="165" fontId="10" fillId="3" borderId="40" xfId="0" applyNumberFormat="1" applyFont="1" applyFill="1" applyBorder="1" applyAlignment="1">
      <alignment horizontal="center" vertical="center"/>
    </xf>
  </cellXfs>
  <cellStyles count="33">
    <cellStyle name="Comma" xfId="1" builtinId="3"/>
    <cellStyle name="Comma 2" xfId="2"/>
    <cellStyle name="Comma 2 2" xfId="9"/>
    <cellStyle name="Comma 3" xfId="5"/>
    <cellStyle name="Comma 3 2" xfId="6"/>
    <cellStyle name="Comma 3 2 2" xfId="14"/>
    <cellStyle name="Comma 3 2 2 2" xfId="22"/>
    <cellStyle name="Comma 3 2 3" xfId="21"/>
    <cellStyle name="Comma 3 3" xfId="7"/>
    <cellStyle name="Comma 3 3 2" xfId="8"/>
    <cellStyle name="Comma 3 3 2 2" xfId="11"/>
    <cellStyle name="Comma 3 3 2 2 2" xfId="17"/>
    <cellStyle name="Comma 3 3 2 2 2 2" xfId="26"/>
    <cellStyle name="Comma 3 3 2 2 3" xfId="25"/>
    <cellStyle name="Comma 3 3 2 3" xfId="16"/>
    <cellStyle name="Comma 3 3 2 3 2" xfId="27"/>
    <cellStyle name="Comma 3 3 2 4" xfId="24"/>
    <cellStyle name="Comma 3 3 3" xfId="15"/>
    <cellStyle name="Comma 3 3 3 2" xfId="28"/>
    <cellStyle name="Comma 3 3 4" xfId="23"/>
    <cellStyle name="Comma 3 4" xfId="13"/>
    <cellStyle name="Comma 3 4 2" xfId="29"/>
    <cellStyle name="Comma 3 5" xfId="20"/>
    <cellStyle name="Normal" xfId="0" builtinId="0"/>
    <cellStyle name="Normal 2" xfId="3"/>
    <cellStyle name="Normal 2 2" xfId="10"/>
    <cellStyle name="Normal 3" xfId="4"/>
    <cellStyle name="Normal 4" xfId="12"/>
    <cellStyle name="Normal 4 2" xfId="18"/>
    <cellStyle name="Normal 4 2 2" xfId="31"/>
    <cellStyle name="Normal 4 3" xfId="30"/>
    <cellStyle name="Normal 4 4" xfId="32"/>
    <cellStyle name="Normal 5" xfId="19"/>
  </cellStyles>
  <dxfs count="0"/>
  <tableStyles count="0" defaultTableStyle="TableStyleMedium2" defaultPivotStyle="PivotStyleLight16"/>
  <colors>
    <mruColors>
      <color rgb="FF66FFFF"/>
      <color rgb="FFFFCC66"/>
      <color rgb="FFCC99FF"/>
      <color rgb="FFCCFFCC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"/>
  <sheetViews>
    <sheetView topLeftCell="K1" workbookViewId="0">
      <selection activeCell="R33" sqref="R33"/>
    </sheetView>
  </sheetViews>
  <sheetFormatPr defaultRowHeight="13.2" x14ac:dyDescent="0.25"/>
  <cols>
    <col min="1" max="1" width="26" customWidth="1"/>
    <col min="2" max="2" width="14.44140625" bestFit="1" customWidth="1"/>
    <col min="3" max="3" width="10.44140625" bestFit="1" customWidth="1"/>
    <col min="4" max="4" width="9.33203125" bestFit="1" customWidth="1"/>
    <col min="5" max="5" width="22.33203125" customWidth="1"/>
    <col min="6" max="6" width="10.33203125" bestFit="1" customWidth="1"/>
    <col min="7" max="7" width="10.44140625" bestFit="1" customWidth="1"/>
    <col min="8" max="8" width="9.33203125" bestFit="1" customWidth="1"/>
    <col min="9" max="9" width="19.44140625" customWidth="1"/>
    <col min="10" max="11" width="10.44140625" bestFit="1" customWidth="1"/>
    <col min="12" max="12" width="9.33203125" bestFit="1" customWidth="1"/>
    <col min="13" max="13" width="36.5546875" customWidth="1"/>
    <col min="14" max="15" width="10.44140625" bestFit="1" customWidth="1"/>
    <col min="16" max="16" width="9.33203125" bestFit="1" customWidth="1"/>
    <col min="17" max="17" width="47.33203125" customWidth="1"/>
  </cols>
  <sheetData>
    <row r="1" spans="1:18" x14ac:dyDescent="0.25">
      <c r="A1" s="3" t="s">
        <v>52</v>
      </c>
    </row>
    <row r="2" spans="1:18" x14ac:dyDescent="0.25">
      <c r="A2" s="28"/>
      <c r="B2" s="28"/>
      <c r="C2" s="28"/>
      <c r="D2" s="2"/>
    </row>
    <row r="3" spans="1:18" x14ac:dyDescent="0.25">
      <c r="B3" s="236" t="s">
        <v>14</v>
      </c>
      <c r="C3" s="236"/>
      <c r="D3" s="236"/>
      <c r="E3" s="236"/>
      <c r="F3" s="236" t="s">
        <v>15</v>
      </c>
      <c r="G3" s="236"/>
      <c r="H3" s="236"/>
      <c r="I3" s="236"/>
      <c r="J3" s="236" t="s">
        <v>12</v>
      </c>
      <c r="K3" s="236"/>
      <c r="L3" s="236"/>
      <c r="M3" s="236"/>
      <c r="N3" s="236" t="s">
        <v>16</v>
      </c>
      <c r="O3" s="236"/>
      <c r="P3" s="236"/>
      <c r="Q3" s="236"/>
      <c r="R3" s="5"/>
    </row>
    <row r="4" spans="1:18" s="12" customFormat="1" ht="40.799999999999997" x14ac:dyDescent="0.2">
      <c r="A4" s="6" t="s">
        <v>7</v>
      </c>
      <c r="B4" s="7" t="s">
        <v>53</v>
      </c>
      <c r="C4" s="8" t="s">
        <v>43</v>
      </c>
      <c r="D4" s="8" t="s">
        <v>17</v>
      </c>
      <c r="E4" s="9" t="s">
        <v>18</v>
      </c>
      <c r="F4" s="7" t="s">
        <v>53</v>
      </c>
      <c r="G4" s="8" t="s">
        <v>43</v>
      </c>
      <c r="H4" s="8" t="s">
        <v>17</v>
      </c>
      <c r="I4" s="9" t="s">
        <v>18</v>
      </c>
      <c r="J4" s="7" t="s">
        <v>53</v>
      </c>
      <c r="K4" s="8" t="s">
        <v>43</v>
      </c>
      <c r="L4" s="8" t="s">
        <v>17</v>
      </c>
      <c r="M4" s="9" t="s">
        <v>18</v>
      </c>
      <c r="N4" s="7" t="s">
        <v>53</v>
      </c>
      <c r="O4" s="8" t="s">
        <v>43</v>
      </c>
      <c r="P4" s="8" t="s">
        <v>17</v>
      </c>
      <c r="Q4" s="10" t="s">
        <v>18</v>
      </c>
      <c r="R4" s="11"/>
    </row>
    <row r="5" spans="1:18" ht="66" x14ac:dyDescent="0.25">
      <c r="A5" t="s">
        <v>0</v>
      </c>
      <c r="B5" s="13">
        <f>138-138+32836+8+420+25</f>
        <v>33289</v>
      </c>
      <c r="C5" s="13">
        <f>33264</f>
        <v>33264</v>
      </c>
      <c r="D5" s="14">
        <f>B5-C5</f>
        <v>25</v>
      </c>
      <c r="E5" s="4" t="s">
        <v>46</v>
      </c>
      <c r="F5" s="15">
        <f>138-138+32836+8+420+25</f>
        <v>33289</v>
      </c>
      <c r="G5" s="15">
        <v>33264</v>
      </c>
      <c r="H5" s="14">
        <f>F5-G5</f>
        <v>25</v>
      </c>
      <c r="I5" s="25" t="s">
        <v>30</v>
      </c>
      <c r="J5" s="45">
        <f>197+529-150+12</f>
        <v>588</v>
      </c>
      <c r="K5" s="16">
        <v>681</v>
      </c>
      <c r="L5" s="17">
        <f>J5-K5</f>
        <v>-93</v>
      </c>
      <c r="M5" s="53" t="s">
        <v>57</v>
      </c>
      <c r="N5" s="47">
        <f>197+33818-150+12</f>
        <v>33877</v>
      </c>
      <c r="O5" s="24">
        <v>33945</v>
      </c>
      <c r="P5" s="14">
        <f>N5-O5</f>
        <v>-68</v>
      </c>
      <c r="Q5" s="4" t="s">
        <v>49</v>
      </c>
      <c r="R5" s="5"/>
    </row>
    <row r="6" spans="1:18" x14ac:dyDescent="0.25">
      <c r="A6" t="s">
        <v>1</v>
      </c>
      <c r="B6" s="13">
        <v>1360</v>
      </c>
      <c r="C6" s="13">
        <v>1360</v>
      </c>
      <c r="D6" s="14">
        <f t="shared" ref="D6:D15" si="0">B6-C6</f>
        <v>0</v>
      </c>
      <c r="E6" s="4"/>
      <c r="F6" s="15">
        <v>1360</v>
      </c>
      <c r="G6" s="15">
        <v>1360</v>
      </c>
      <c r="H6" s="14">
        <f t="shared" ref="H6:H15" si="1">F6-G6</f>
        <v>0</v>
      </c>
      <c r="I6" s="25"/>
      <c r="J6" s="16">
        <v>1478</v>
      </c>
      <c r="K6" s="16">
        <v>1478</v>
      </c>
      <c r="L6" s="17">
        <f t="shared" ref="L6:L15" si="2">J6-K6</f>
        <v>0</v>
      </c>
      <c r="M6" s="4"/>
      <c r="N6" s="18">
        <v>2838</v>
      </c>
      <c r="O6" s="24">
        <v>2838</v>
      </c>
      <c r="P6" s="14">
        <f t="shared" ref="P6:P15" si="3">N6-O6</f>
        <v>0</v>
      </c>
      <c r="Q6" s="4"/>
      <c r="R6" s="5"/>
    </row>
    <row r="7" spans="1:18" x14ac:dyDescent="0.25">
      <c r="A7" t="s">
        <v>2</v>
      </c>
      <c r="B7" s="13">
        <v>2986</v>
      </c>
      <c r="C7" s="13">
        <v>2986</v>
      </c>
      <c r="D7" s="14">
        <f t="shared" si="0"/>
        <v>0</v>
      </c>
      <c r="E7" s="4"/>
      <c r="F7" s="15">
        <v>2986</v>
      </c>
      <c r="G7" s="15">
        <v>2986</v>
      </c>
      <c r="H7" s="14">
        <f t="shared" si="1"/>
        <v>0</v>
      </c>
      <c r="I7" s="25"/>
      <c r="J7" s="16">
        <v>0</v>
      </c>
      <c r="K7" s="16">
        <v>0</v>
      </c>
      <c r="L7" s="17">
        <f t="shared" si="2"/>
        <v>0</v>
      </c>
      <c r="N7" s="18">
        <v>2986</v>
      </c>
      <c r="O7" s="24">
        <v>2986</v>
      </c>
      <c r="P7" s="14">
        <f t="shared" si="3"/>
        <v>0</v>
      </c>
      <c r="Q7" s="4"/>
      <c r="R7" s="5"/>
    </row>
    <row r="8" spans="1:18" x14ac:dyDescent="0.25">
      <c r="A8" t="s">
        <v>3</v>
      </c>
      <c r="B8" s="13">
        <v>16454</v>
      </c>
      <c r="C8" s="13">
        <v>16454</v>
      </c>
      <c r="D8" s="14">
        <f t="shared" si="0"/>
        <v>0</v>
      </c>
      <c r="E8" s="4"/>
      <c r="F8" s="15">
        <v>17629</v>
      </c>
      <c r="G8" s="15">
        <v>17629</v>
      </c>
      <c r="H8" s="14">
        <f t="shared" si="1"/>
        <v>0</v>
      </c>
      <c r="I8" s="25"/>
      <c r="J8" s="16">
        <v>984</v>
      </c>
      <c r="K8" s="16">
        <v>984</v>
      </c>
      <c r="L8" s="17">
        <f t="shared" si="2"/>
        <v>0</v>
      </c>
      <c r="M8" s="4"/>
      <c r="N8" s="18">
        <v>18613</v>
      </c>
      <c r="O8" s="24">
        <v>18613</v>
      </c>
      <c r="P8" s="14">
        <f t="shared" si="3"/>
        <v>0</v>
      </c>
      <c r="Q8" s="4"/>
      <c r="R8" s="5"/>
    </row>
    <row r="9" spans="1:18" x14ac:dyDescent="0.25">
      <c r="A9" t="s">
        <v>22</v>
      </c>
      <c r="B9" s="13">
        <f>7490-420</f>
        <v>7070</v>
      </c>
      <c r="C9" s="13">
        <v>7070</v>
      </c>
      <c r="D9" s="14">
        <f t="shared" si="0"/>
        <v>0</v>
      </c>
      <c r="E9" s="4"/>
      <c r="F9" s="15">
        <f>7490-420</f>
        <v>7070</v>
      </c>
      <c r="G9" s="15">
        <v>7070</v>
      </c>
      <c r="H9" s="14">
        <f t="shared" si="1"/>
        <v>0</v>
      </c>
      <c r="I9" s="25"/>
      <c r="J9" s="16">
        <v>0</v>
      </c>
      <c r="K9" s="16">
        <v>0</v>
      </c>
      <c r="L9" s="17">
        <f t="shared" si="2"/>
        <v>0</v>
      </c>
      <c r="N9" s="18">
        <f>7490-420</f>
        <v>7070</v>
      </c>
      <c r="O9" s="24">
        <v>7070</v>
      </c>
      <c r="P9" s="14">
        <f t="shared" si="3"/>
        <v>0</v>
      </c>
      <c r="Q9" s="4"/>
      <c r="R9" s="5"/>
    </row>
    <row r="10" spans="1:18" ht="26.4" x14ac:dyDescent="0.25">
      <c r="A10" t="s">
        <v>13</v>
      </c>
      <c r="B10" s="13">
        <f>2851+2554</f>
        <v>5405</v>
      </c>
      <c r="C10" s="13">
        <v>2851</v>
      </c>
      <c r="D10" s="14">
        <f t="shared" si="0"/>
        <v>2554</v>
      </c>
      <c r="E10" s="4" t="s">
        <v>50</v>
      </c>
      <c r="F10" s="15">
        <f>2851+2554</f>
        <v>5405</v>
      </c>
      <c r="G10" s="15">
        <v>2851</v>
      </c>
      <c r="H10" s="14">
        <f t="shared" si="1"/>
        <v>2554</v>
      </c>
      <c r="I10" s="25" t="s">
        <v>30</v>
      </c>
      <c r="J10" s="16">
        <v>500</v>
      </c>
      <c r="K10" s="16">
        <v>0</v>
      </c>
      <c r="L10" s="17">
        <f t="shared" si="2"/>
        <v>500</v>
      </c>
      <c r="M10" t="s">
        <v>47</v>
      </c>
      <c r="N10" s="18">
        <f>2554+3351</f>
        <v>5905</v>
      </c>
      <c r="O10" s="24">
        <v>2851</v>
      </c>
      <c r="P10" s="14">
        <f t="shared" si="3"/>
        <v>3054</v>
      </c>
      <c r="Q10" s="4" t="s">
        <v>51</v>
      </c>
      <c r="R10" s="5"/>
    </row>
    <row r="11" spans="1:18" x14ac:dyDescent="0.25">
      <c r="A11" t="s">
        <v>8</v>
      </c>
      <c r="B11" s="13">
        <f>-138+10230</f>
        <v>10092</v>
      </c>
      <c r="C11" s="13">
        <v>10092</v>
      </c>
      <c r="D11" s="14">
        <f t="shared" si="0"/>
        <v>0</v>
      </c>
      <c r="E11" s="4"/>
      <c r="F11" s="15">
        <f>-138+10320</f>
        <v>10182</v>
      </c>
      <c r="G11" s="15">
        <v>10182</v>
      </c>
      <c r="H11" s="14">
        <f t="shared" si="1"/>
        <v>0</v>
      </c>
      <c r="I11" s="25"/>
      <c r="J11" s="16">
        <v>11</v>
      </c>
      <c r="K11" s="16">
        <v>11</v>
      </c>
      <c r="L11" s="17">
        <f t="shared" si="2"/>
        <v>0</v>
      </c>
      <c r="M11" s="4"/>
      <c r="N11" s="18">
        <f>-138+10331</f>
        <v>10193</v>
      </c>
      <c r="O11" s="24">
        <v>10193</v>
      </c>
      <c r="P11" s="14">
        <f t="shared" si="3"/>
        <v>0</v>
      </c>
      <c r="Q11" s="4"/>
      <c r="R11" s="5"/>
    </row>
    <row r="12" spans="1:18" x14ac:dyDescent="0.25">
      <c r="A12" t="s">
        <v>4</v>
      </c>
      <c r="B12" s="13">
        <f>855-8+138</f>
        <v>985</v>
      </c>
      <c r="C12" s="13">
        <v>985</v>
      </c>
      <c r="D12" s="14">
        <f t="shared" si="0"/>
        <v>0</v>
      </c>
      <c r="E12" s="4"/>
      <c r="F12" s="15">
        <f>-8+855+138</f>
        <v>985</v>
      </c>
      <c r="G12" s="15">
        <v>985</v>
      </c>
      <c r="H12" s="14">
        <f t="shared" si="1"/>
        <v>0</v>
      </c>
      <c r="I12" s="25"/>
      <c r="J12" s="16">
        <v>0</v>
      </c>
      <c r="K12" s="16">
        <v>0</v>
      </c>
      <c r="L12" s="17">
        <f t="shared" si="2"/>
        <v>0</v>
      </c>
      <c r="N12" s="18">
        <f>-8+855+138</f>
        <v>985</v>
      </c>
      <c r="O12" s="24">
        <v>985</v>
      </c>
      <c r="P12" s="14">
        <f t="shared" si="3"/>
        <v>0</v>
      </c>
      <c r="Q12" s="4"/>
      <c r="R12" s="5"/>
    </row>
    <row r="13" spans="1:18" x14ac:dyDescent="0.25">
      <c r="A13" t="s">
        <v>9</v>
      </c>
      <c r="B13" s="13">
        <v>-750</v>
      </c>
      <c r="C13" s="13">
        <v>-750</v>
      </c>
      <c r="D13" s="14">
        <f t="shared" si="0"/>
        <v>0</v>
      </c>
      <c r="F13" s="15">
        <v>0</v>
      </c>
      <c r="G13" s="15">
        <v>0</v>
      </c>
      <c r="H13" s="14">
        <f t="shared" si="1"/>
        <v>0</v>
      </c>
      <c r="I13" s="25"/>
      <c r="J13" s="16">
        <v>0</v>
      </c>
      <c r="K13" s="16">
        <v>0</v>
      </c>
      <c r="L13" s="17">
        <f t="shared" si="2"/>
        <v>0</v>
      </c>
      <c r="N13" s="18">
        <v>0</v>
      </c>
      <c r="O13" s="24">
        <v>0</v>
      </c>
      <c r="P13" s="14">
        <f t="shared" si="3"/>
        <v>0</v>
      </c>
      <c r="R13" s="5"/>
    </row>
    <row r="14" spans="1:18" x14ac:dyDescent="0.25">
      <c r="A14" t="s">
        <v>10</v>
      </c>
      <c r="B14" s="13">
        <v>0</v>
      </c>
      <c r="C14" s="13">
        <v>0</v>
      </c>
      <c r="D14" s="14">
        <f t="shared" si="0"/>
        <v>0</v>
      </c>
      <c r="E14" s="4"/>
      <c r="F14" s="15">
        <v>0</v>
      </c>
      <c r="G14" s="15">
        <v>0</v>
      </c>
      <c r="H14" s="14">
        <f t="shared" si="1"/>
        <v>0</v>
      </c>
      <c r="I14" s="25"/>
      <c r="J14" s="16">
        <v>0</v>
      </c>
      <c r="K14" s="16">
        <v>0</v>
      </c>
      <c r="L14" s="17">
        <f t="shared" si="2"/>
        <v>0</v>
      </c>
      <c r="N14" s="18">
        <v>0</v>
      </c>
      <c r="O14" s="24">
        <v>0</v>
      </c>
      <c r="P14" s="14">
        <f t="shared" si="3"/>
        <v>0</v>
      </c>
      <c r="Q14" s="4"/>
      <c r="R14" s="5"/>
    </row>
    <row r="15" spans="1:18" x14ac:dyDescent="0.25">
      <c r="A15" t="s">
        <v>11</v>
      </c>
      <c r="B15" s="13">
        <v>-27758</v>
      </c>
      <c r="C15" s="13">
        <v>-27758</v>
      </c>
      <c r="D15" s="14">
        <f t="shared" si="0"/>
        <v>0</v>
      </c>
      <c r="F15" s="15">
        <v>-27758</v>
      </c>
      <c r="G15" s="15">
        <v>-27758</v>
      </c>
      <c r="H15" s="14">
        <f t="shared" si="1"/>
        <v>0</v>
      </c>
      <c r="J15" s="16">
        <v>27758</v>
      </c>
      <c r="K15" s="16">
        <v>27758</v>
      </c>
      <c r="L15" s="17">
        <f t="shared" si="2"/>
        <v>0</v>
      </c>
      <c r="N15" s="18">
        <v>0</v>
      </c>
      <c r="O15" s="24">
        <v>0</v>
      </c>
      <c r="P15" s="14">
        <f t="shared" si="3"/>
        <v>0</v>
      </c>
      <c r="R15" s="5"/>
    </row>
    <row r="16" spans="1:18" s="22" customFormat="1" x14ac:dyDescent="0.25">
      <c r="A16" s="19"/>
      <c r="B16" s="19">
        <f t="shared" ref="B16:H16" si="4">SUM(B5:B15)</f>
        <v>49133</v>
      </c>
      <c r="C16" s="19">
        <f t="shared" si="4"/>
        <v>46554</v>
      </c>
      <c r="D16" s="19">
        <f t="shared" si="4"/>
        <v>2579</v>
      </c>
      <c r="E16" s="20">
        <f t="shared" si="4"/>
        <v>0</v>
      </c>
      <c r="F16" s="21">
        <f t="shared" si="4"/>
        <v>51148</v>
      </c>
      <c r="G16" s="19">
        <f t="shared" si="4"/>
        <v>48569</v>
      </c>
      <c r="H16" s="19">
        <f t="shared" si="4"/>
        <v>2579</v>
      </c>
      <c r="I16" s="20"/>
      <c r="J16" s="21">
        <f>SUM(J5:J15)</f>
        <v>31319</v>
      </c>
      <c r="K16" s="19">
        <f>SUM(K5:K15)</f>
        <v>30912</v>
      </c>
      <c r="L16" s="19">
        <f>SUM(L5:L15)</f>
        <v>407</v>
      </c>
      <c r="M16" s="20"/>
      <c r="N16" s="21">
        <f>SUM(N5:N15)</f>
        <v>82467</v>
      </c>
      <c r="O16" s="19">
        <f>SUM(O5:O15)</f>
        <v>79481</v>
      </c>
      <c r="P16" s="19">
        <f>SUM(P5:P15)</f>
        <v>2986</v>
      </c>
      <c r="Q16" s="20"/>
      <c r="R16" s="18"/>
    </row>
    <row r="17" spans="6:10" x14ac:dyDescent="0.25">
      <c r="F17" s="1"/>
      <c r="J17" s="23"/>
    </row>
    <row r="18" spans="6:10" x14ac:dyDescent="0.25">
      <c r="J18" s="23"/>
    </row>
  </sheetData>
  <mergeCells count="4">
    <mergeCell ref="B3:E3"/>
    <mergeCell ref="F3:I3"/>
    <mergeCell ref="J3:M3"/>
    <mergeCell ref="N3:Q3"/>
  </mergeCells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</sheetPr>
  <dimension ref="A1:R18"/>
  <sheetViews>
    <sheetView topLeftCell="E1" workbookViewId="0">
      <selection activeCell="N5" sqref="N5"/>
    </sheetView>
  </sheetViews>
  <sheetFormatPr defaultRowHeight="13.2" x14ac:dyDescent="0.25"/>
  <cols>
    <col min="1" max="1" width="34" customWidth="1"/>
    <col min="5" max="5" width="33.44140625" customWidth="1"/>
    <col min="9" max="9" width="19.6640625" customWidth="1"/>
  </cols>
  <sheetData>
    <row r="1" spans="1:18" x14ac:dyDescent="0.25">
      <c r="A1" s="29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/>
      <c r="B2" s="31"/>
      <c r="C2" s="31"/>
      <c r="D2" s="3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30"/>
      <c r="B3" s="237" t="s">
        <v>14</v>
      </c>
      <c r="C3" s="237"/>
      <c r="D3" s="237"/>
      <c r="E3" s="237"/>
      <c r="F3" s="237" t="s">
        <v>15</v>
      </c>
      <c r="G3" s="237"/>
      <c r="H3" s="237"/>
      <c r="I3" s="237"/>
      <c r="J3" s="237" t="s">
        <v>12</v>
      </c>
      <c r="K3" s="237"/>
      <c r="L3" s="237"/>
      <c r="M3" s="237"/>
      <c r="N3" s="237" t="s">
        <v>16</v>
      </c>
      <c r="O3" s="237"/>
      <c r="P3" s="237"/>
      <c r="Q3" s="237"/>
      <c r="R3" s="33"/>
    </row>
    <row r="4" spans="1:18" ht="41.4" x14ac:dyDescent="0.25">
      <c r="A4" s="34" t="s">
        <v>7</v>
      </c>
      <c r="B4" s="35" t="s">
        <v>54</v>
      </c>
      <c r="C4" s="36" t="s">
        <v>43</v>
      </c>
      <c r="D4" s="36" t="s">
        <v>17</v>
      </c>
      <c r="E4" s="37" t="s">
        <v>18</v>
      </c>
      <c r="F4" s="35" t="s">
        <v>54</v>
      </c>
      <c r="G4" s="36" t="s">
        <v>43</v>
      </c>
      <c r="H4" s="36" t="s">
        <v>17</v>
      </c>
      <c r="I4" s="37" t="s">
        <v>18</v>
      </c>
      <c r="J4" s="35" t="s">
        <v>54</v>
      </c>
      <c r="K4" s="36" t="s">
        <v>43</v>
      </c>
      <c r="L4" s="36" t="s">
        <v>17</v>
      </c>
      <c r="M4" s="37" t="s">
        <v>18</v>
      </c>
      <c r="N4" s="35" t="s">
        <v>54</v>
      </c>
      <c r="O4" s="36" t="s">
        <v>43</v>
      </c>
      <c r="P4" s="36" t="s">
        <v>17</v>
      </c>
      <c r="Q4" s="38" t="s">
        <v>18</v>
      </c>
      <c r="R4" s="39"/>
    </row>
    <row r="5" spans="1:18" ht="198" x14ac:dyDescent="0.25">
      <c r="A5" s="30" t="s">
        <v>0</v>
      </c>
      <c r="B5" s="40">
        <v>33289</v>
      </c>
      <c r="C5" s="40">
        <v>33264</v>
      </c>
      <c r="D5" s="41">
        <f>B5-C5</f>
        <v>25</v>
      </c>
      <c r="E5" s="42" t="s">
        <v>46</v>
      </c>
      <c r="F5" s="43">
        <v>33289</v>
      </c>
      <c r="G5" s="43">
        <v>33264</v>
      </c>
      <c r="H5" s="41">
        <f>F5-G5</f>
        <v>25</v>
      </c>
      <c r="I5" s="44" t="s">
        <v>30</v>
      </c>
      <c r="J5" s="45">
        <f>197+529</f>
        <v>726</v>
      </c>
      <c r="K5" s="45">
        <v>681</v>
      </c>
      <c r="L5" s="46">
        <f>J5-K5</f>
        <v>45</v>
      </c>
      <c r="M5" s="53" t="s">
        <v>56</v>
      </c>
      <c r="N5" s="47">
        <f>197+33818</f>
        <v>34015</v>
      </c>
      <c r="O5" s="48">
        <v>33945</v>
      </c>
      <c r="P5" s="41">
        <f>N5-O5</f>
        <v>70</v>
      </c>
      <c r="Q5" s="42" t="s">
        <v>49</v>
      </c>
      <c r="R5" s="33"/>
    </row>
    <row r="6" spans="1:18" x14ac:dyDescent="0.25">
      <c r="A6" s="30" t="s">
        <v>1</v>
      </c>
      <c r="B6" s="40">
        <v>1360</v>
      </c>
      <c r="C6" s="40">
        <v>1360</v>
      </c>
      <c r="D6" s="41">
        <f t="shared" ref="D6:D15" si="0">B6-C6</f>
        <v>0</v>
      </c>
      <c r="E6" s="42"/>
      <c r="F6" s="43">
        <v>1360</v>
      </c>
      <c r="G6" s="43">
        <v>1360</v>
      </c>
      <c r="H6" s="41">
        <f t="shared" ref="H6:H15" si="1">F6-G6</f>
        <v>0</v>
      </c>
      <c r="I6" s="44"/>
      <c r="J6" s="45">
        <v>1478</v>
      </c>
      <c r="K6" s="45">
        <v>1478</v>
      </c>
      <c r="L6" s="46">
        <f t="shared" ref="L6:L15" si="2">J6-K6</f>
        <v>0</v>
      </c>
      <c r="M6" s="42"/>
      <c r="N6" s="47">
        <v>2838</v>
      </c>
      <c r="O6" s="48">
        <v>2838</v>
      </c>
      <c r="P6" s="41">
        <f t="shared" ref="P6:P15" si="3">N6-O6</f>
        <v>0</v>
      </c>
      <c r="Q6" s="42"/>
      <c r="R6" s="33"/>
    </row>
    <row r="7" spans="1:18" x14ac:dyDescent="0.25">
      <c r="A7" s="30" t="s">
        <v>2</v>
      </c>
      <c r="B7" s="40">
        <v>2986</v>
      </c>
      <c r="C7" s="40">
        <v>2986</v>
      </c>
      <c r="D7" s="41">
        <f t="shared" si="0"/>
        <v>0</v>
      </c>
      <c r="E7" s="42"/>
      <c r="F7" s="43">
        <v>2986</v>
      </c>
      <c r="G7" s="43">
        <v>2986</v>
      </c>
      <c r="H7" s="41">
        <f t="shared" si="1"/>
        <v>0</v>
      </c>
      <c r="I7" s="44"/>
      <c r="J7" s="45">
        <v>0</v>
      </c>
      <c r="K7" s="45">
        <v>0</v>
      </c>
      <c r="L7" s="46">
        <f t="shared" si="2"/>
        <v>0</v>
      </c>
      <c r="M7" s="30"/>
      <c r="N7" s="47">
        <v>2986</v>
      </c>
      <c r="O7" s="48">
        <v>2986</v>
      </c>
      <c r="P7" s="41">
        <f t="shared" si="3"/>
        <v>0</v>
      </c>
      <c r="Q7" s="42"/>
      <c r="R7" s="33"/>
    </row>
    <row r="8" spans="1:18" x14ac:dyDescent="0.25">
      <c r="A8" s="30" t="s">
        <v>3</v>
      </c>
      <c r="B8" s="40">
        <v>16454</v>
      </c>
      <c r="C8" s="40">
        <v>16454</v>
      </c>
      <c r="D8" s="41">
        <f t="shared" si="0"/>
        <v>0</v>
      </c>
      <c r="E8" s="42"/>
      <c r="F8" s="43">
        <v>17629</v>
      </c>
      <c r="G8" s="43">
        <v>17629</v>
      </c>
      <c r="H8" s="41">
        <f t="shared" si="1"/>
        <v>0</v>
      </c>
      <c r="I8" s="44"/>
      <c r="J8" s="45">
        <v>984</v>
      </c>
      <c r="K8" s="45">
        <v>984</v>
      </c>
      <c r="L8" s="46">
        <f t="shared" si="2"/>
        <v>0</v>
      </c>
      <c r="M8" s="42"/>
      <c r="N8" s="47">
        <v>18613</v>
      </c>
      <c r="O8" s="48">
        <v>18613</v>
      </c>
      <c r="P8" s="41">
        <f t="shared" si="3"/>
        <v>0</v>
      </c>
      <c r="Q8" s="42"/>
      <c r="R8" s="33"/>
    </row>
    <row r="9" spans="1:18" x14ac:dyDescent="0.25">
      <c r="A9" s="30" t="s">
        <v>22</v>
      </c>
      <c r="B9" s="40">
        <v>7070</v>
      </c>
      <c r="C9" s="40">
        <v>7070</v>
      </c>
      <c r="D9" s="41">
        <f t="shared" si="0"/>
        <v>0</v>
      </c>
      <c r="E9" s="42"/>
      <c r="F9" s="43">
        <v>7070</v>
      </c>
      <c r="G9" s="43">
        <v>7070</v>
      </c>
      <c r="H9" s="41">
        <f t="shared" si="1"/>
        <v>0</v>
      </c>
      <c r="I9" s="44"/>
      <c r="J9" s="45">
        <v>0</v>
      </c>
      <c r="K9" s="45">
        <v>0</v>
      </c>
      <c r="L9" s="46">
        <f t="shared" si="2"/>
        <v>0</v>
      </c>
      <c r="M9" s="30"/>
      <c r="N9" s="47">
        <v>7070</v>
      </c>
      <c r="O9" s="48">
        <v>7070</v>
      </c>
      <c r="P9" s="41">
        <f t="shared" si="3"/>
        <v>0</v>
      </c>
      <c r="Q9" s="42"/>
      <c r="R9" s="33"/>
    </row>
    <row r="10" spans="1:18" ht="118.8" x14ac:dyDescent="0.25">
      <c r="A10" s="30" t="s">
        <v>13</v>
      </c>
      <c r="B10" s="40">
        <v>5405</v>
      </c>
      <c r="C10" s="40">
        <v>2851</v>
      </c>
      <c r="D10" s="41">
        <f t="shared" si="0"/>
        <v>2554</v>
      </c>
      <c r="E10" s="42" t="s">
        <v>50</v>
      </c>
      <c r="F10" s="43">
        <v>5405</v>
      </c>
      <c r="G10" s="43">
        <v>2851</v>
      </c>
      <c r="H10" s="41">
        <f t="shared" si="1"/>
        <v>2554</v>
      </c>
      <c r="I10" s="44" t="s">
        <v>30</v>
      </c>
      <c r="J10" s="45">
        <v>500</v>
      </c>
      <c r="K10" s="45">
        <v>0</v>
      </c>
      <c r="L10" s="46">
        <f t="shared" si="2"/>
        <v>500</v>
      </c>
      <c r="M10" s="30" t="s">
        <v>47</v>
      </c>
      <c r="N10" s="47">
        <v>5905</v>
      </c>
      <c r="O10" s="48">
        <v>2851</v>
      </c>
      <c r="P10" s="41">
        <f t="shared" si="3"/>
        <v>3054</v>
      </c>
      <c r="Q10" s="42" t="s">
        <v>51</v>
      </c>
      <c r="R10" s="33"/>
    </row>
    <row r="11" spans="1:18" x14ac:dyDescent="0.25">
      <c r="A11" s="30" t="s">
        <v>8</v>
      </c>
      <c r="B11" s="40">
        <v>10092</v>
      </c>
      <c r="C11" s="40">
        <v>10092</v>
      </c>
      <c r="D11" s="41">
        <f t="shared" si="0"/>
        <v>0</v>
      </c>
      <c r="E11" s="42"/>
      <c r="F11" s="43">
        <v>10182</v>
      </c>
      <c r="G11" s="43">
        <v>10182</v>
      </c>
      <c r="H11" s="41">
        <f t="shared" si="1"/>
        <v>0</v>
      </c>
      <c r="I11" s="44"/>
      <c r="J11" s="45">
        <v>11</v>
      </c>
      <c r="K11" s="45">
        <v>11</v>
      </c>
      <c r="L11" s="46">
        <f t="shared" si="2"/>
        <v>0</v>
      </c>
      <c r="M11" s="42"/>
      <c r="N11" s="47">
        <v>10193</v>
      </c>
      <c r="O11" s="48">
        <v>10193</v>
      </c>
      <c r="P11" s="41">
        <f t="shared" si="3"/>
        <v>0</v>
      </c>
      <c r="Q11" s="42"/>
      <c r="R11" s="33"/>
    </row>
    <row r="12" spans="1:18" x14ac:dyDescent="0.25">
      <c r="A12" s="30" t="s">
        <v>4</v>
      </c>
      <c r="B12" s="40">
        <v>985</v>
      </c>
      <c r="C12" s="40">
        <v>985</v>
      </c>
      <c r="D12" s="41">
        <f t="shared" si="0"/>
        <v>0</v>
      </c>
      <c r="E12" s="42"/>
      <c r="F12" s="43">
        <v>985</v>
      </c>
      <c r="G12" s="43">
        <v>985</v>
      </c>
      <c r="H12" s="41">
        <f t="shared" si="1"/>
        <v>0</v>
      </c>
      <c r="I12" s="44"/>
      <c r="J12" s="45">
        <v>0</v>
      </c>
      <c r="K12" s="45">
        <v>0</v>
      </c>
      <c r="L12" s="46">
        <f t="shared" si="2"/>
        <v>0</v>
      </c>
      <c r="M12" s="30"/>
      <c r="N12" s="47">
        <v>985</v>
      </c>
      <c r="O12" s="48">
        <v>985</v>
      </c>
      <c r="P12" s="41">
        <f t="shared" si="3"/>
        <v>0</v>
      </c>
      <c r="Q12" s="42"/>
      <c r="R12" s="33"/>
    </row>
    <row r="13" spans="1:18" x14ac:dyDescent="0.25">
      <c r="A13" s="30" t="s">
        <v>9</v>
      </c>
      <c r="B13" s="40">
        <v>-750</v>
      </c>
      <c r="C13" s="40">
        <v>-750</v>
      </c>
      <c r="D13" s="41">
        <f t="shared" si="0"/>
        <v>0</v>
      </c>
      <c r="E13" s="30"/>
      <c r="F13" s="43">
        <v>0</v>
      </c>
      <c r="G13" s="43">
        <v>0</v>
      </c>
      <c r="H13" s="41">
        <f t="shared" si="1"/>
        <v>0</v>
      </c>
      <c r="I13" s="44"/>
      <c r="J13" s="45">
        <v>0</v>
      </c>
      <c r="K13" s="45">
        <v>0</v>
      </c>
      <c r="L13" s="46">
        <f t="shared" si="2"/>
        <v>0</v>
      </c>
      <c r="M13" s="30"/>
      <c r="N13" s="47">
        <v>0</v>
      </c>
      <c r="O13" s="48">
        <v>0</v>
      </c>
      <c r="P13" s="41">
        <f t="shared" si="3"/>
        <v>0</v>
      </c>
      <c r="Q13" s="30"/>
      <c r="R13" s="33"/>
    </row>
    <row r="14" spans="1:18" x14ac:dyDescent="0.25">
      <c r="A14" s="30" t="s">
        <v>10</v>
      </c>
      <c r="B14" s="40">
        <v>0</v>
      </c>
      <c r="C14" s="40">
        <v>0</v>
      </c>
      <c r="D14" s="41">
        <f t="shared" si="0"/>
        <v>0</v>
      </c>
      <c r="E14" s="42"/>
      <c r="F14" s="43">
        <v>0</v>
      </c>
      <c r="G14" s="43">
        <v>0</v>
      </c>
      <c r="H14" s="41">
        <f t="shared" si="1"/>
        <v>0</v>
      </c>
      <c r="I14" s="44"/>
      <c r="J14" s="45">
        <v>0</v>
      </c>
      <c r="K14" s="45">
        <v>0</v>
      </c>
      <c r="L14" s="46">
        <f t="shared" si="2"/>
        <v>0</v>
      </c>
      <c r="M14" s="30"/>
      <c r="N14" s="47">
        <v>0</v>
      </c>
      <c r="O14" s="48">
        <v>0</v>
      </c>
      <c r="P14" s="41">
        <f t="shared" si="3"/>
        <v>0</v>
      </c>
      <c r="Q14" s="42"/>
      <c r="R14" s="33"/>
    </row>
    <row r="15" spans="1:18" x14ac:dyDescent="0.25">
      <c r="A15" s="30" t="s">
        <v>11</v>
      </c>
      <c r="B15" s="40">
        <v>-27758</v>
      </c>
      <c r="C15" s="40">
        <v>-27758</v>
      </c>
      <c r="D15" s="41">
        <f t="shared" si="0"/>
        <v>0</v>
      </c>
      <c r="E15" s="30"/>
      <c r="F15" s="43">
        <v>-27758</v>
      </c>
      <c r="G15" s="43">
        <v>-27758</v>
      </c>
      <c r="H15" s="41">
        <f t="shared" si="1"/>
        <v>0</v>
      </c>
      <c r="I15" s="30"/>
      <c r="J15" s="45">
        <v>27758</v>
      </c>
      <c r="K15" s="45">
        <v>27758</v>
      </c>
      <c r="L15" s="46">
        <f t="shared" si="2"/>
        <v>0</v>
      </c>
      <c r="M15" s="30"/>
      <c r="N15" s="47">
        <v>0</v>
      </c>
      <c r="O15" s="48">
        <v>0</v>
      </c>
      <c r="P15" s="41">
        <f t="shared" si="3"/>
        <v>0</v>
      </c>
      <c r="Q15" s="30"/>
      <c r="R15" s="33"/>
    </row>
    <row r="16" spans="1:18" x14ac:dyDescent="0.25">
      <c r="A16" s="49"/>
      <c r="B16" s="49">
        <f>SUM(B5:B15)</f>
        <v>49133</v>
      </c>
      <c r="C16" s="49">
        <f t="shared" ref="C16:P16" si="4">SUM(C5:C15)</f>
        <v>46554</v>
      </c>
      <c r="D16" s="49">
        <f t="shared" si="4"/>
        <v>2579</v>
      </c>
      <c r="E16" s="50">
        <f t="shared" si="4"/>
        <v>0</v>
      </c>
      <c r="F16" s="49">
        <f t="shared" si="4"/>
        <v>51148</v>
      </c>
      <c r="G16" s="49">
        <f t="shared" si="4"/>
        <v>48569</v>
      </c>
      <c r="H16" s="49">
        <f t="shared" si="4"/>
        <v>2579</v>
      </c>
      <c r="I16" s="50">
        <f t="shared" si="4"/>
        <v>0</v>
      </c>
      <c r="J16" s="49">
        <f t="shared" si="4"/>
        <v>31457</v>
      </c>
      <c r="K16" s="49">
        <f t="shared" si="4"/>
        <v>30912</v>
      </c>
      <c r="L16" s="49">
        <f t="shared" si="4"/>
        <v>545</v>
      </c>
      <c r="M16" s="50">
        <f t="shared" si="4"/>
        <v>0</v>
      </c>
      <c r="N16" s="49">
        <f t="shared" si="4"/>
        <v>82605</v>
      </c>
      <c r="O16" s="49">
        <f t="shared" si="4"/>
        <v>79481</v>
      </c>
      <c r="P16" s="49">
        <f t="shared" si="4"/>
        <v>3124</v>
      </c>
      <c r="Q16" s="50"/>
      <c r="R16" s="47"/>
    </row>
    <row r="17" spans="6:10" x14ac:dyDescent="0.25">
      <c r="F17" s="51"/>
      <c r="G17" s="30"/>
      <c r="H17" s="30"/>
      <c r="I17" s="30"/>
      <c r="J17" s="52"/>
    </row>
    <row r="18" spans="6:10" x14ac:dyDescent="0.25">
      <c r="F18" s="30"/>
      <c r="G18" s="30"/>
      <c r="H18" s="30"/>
      <c r="I18" s="30"/>
      <c r="J18" s="52"/>
    </row>
  </sheetData>
  <mergeCells count="4">
    <mergeCell ref="B3:E3"/>
    <mergeCell ref="F3:I3"/>
    <mergeCell ref="J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8"/>
  <sheetViews>
    <sheetView workbookViewId="0">
      <selection activeCell="D23" sqref="D23"/>
    </sheetView>
  </sheetViews>
  <sheetFormatPr defaultRowHeight="13.2" x14ac:dyDescent="0.25"/>
  <cols>
    <col min="1" max="1" width="26" customWidth="1"/>
    <col min="2" max="2" width="14.44140625" bestFit="1" customWidth="1"/>
    <col min="3" max="3" width="10.44140625" bestFit="1" customWidth="1"/>
    <col min="4" max="4" width="9.33203125" bestFit="1" customWidth="1"/>
    <col min="5" max="5" width="22.33203125" customWidth="1"/>
    <col min="6" max="6" width="10.33203125" bestFit="1" customWidth="1"/>
    <col min="7" max="7" width="10.44140625" bestFit="1" customWidth="1"/>
    <col min="8" max="8" width="9.33203125" bestFit="1" customWidth="1"/>
    <col min="9" max="9" width="19.44140625" customWidth="1"/>
    <col min="10" max="11" width="10.44140625" bestFit="1" customWidth="1"/>
    <col min="12" max="12" width="9.33203125" bestFit="1" customWidth="1"/>
    <col min="13" max="13" width="36.5546875" customWidth="1"/>
    <col min="14" max="15" width="10.44140625" bestFit="1" customWidth="1"/>
    <col min="16" max="16" width="9.33203125" bestFit="1" customWidth="1"/>
    <col min="17" max="17" width="47.33203125" customWidth="1"/>
  </cols>
  <sheetData>
    <row r="1" spans="1:18" x14ac:dyDescent="0.25">
      <c r="A1" s="3" t="s">
        <v>45</v>
      </c>
    </row>
    <row r="2" spans="1:18" x14ac:dyDescent="0.25">
      <c r="A2" s="28"/>
      <c r="B2" s="28"/>
      <c r="C2" s="28"/>
      <c r="D2" s="2"/>
    </row>
    <row r="3" spans="1:18" x14ac:dyDescent="0.25">
      <c r="B3" s="236" t="s">
        <v>14</v>
      </c>
      <c r="C3" s="236"/>
      <c r="D3" s="236"/>
      <c r="E3" s="236"/>
      <c r="F3" s="236" t="s">
        <v>15</v>
      </c>
      <c r="G3" s="236"/>
      <c r="H3" s="236"/>
      <c r="I3" s="236"/>
      <c r="J3" s="236" t="s">
        <v>12</v>
      </c>
      <c r="K3" s="236"/>
      <c r="L3" s="236"/>
      <c r="M3" s="236"/>
      <c r="N3" s="236" t="s">
        <v>16</v>
      </c>
      <c r="O3" s="236"/>
      <c r="P3" s="236"/>
      <c r="Q3" s="236"/>
      <c r="R3" s="5"/>
    </row>
    <row r="4" spans="1:18" s="12" customFormat="1" ht="40.799999999999997" x14ac:dyDescent="0.2">
      <c r="A4" s="6" t="s">
        <v>7</v>
      </c>
      <c r="B4" s="7" t="s">
        <v>44</v>
      </c>
      <c r="C4" s="8" t="s">
        <v>43</v>
      </c>
      <c r="D4" s="8" t="s">
        <v>17</v>
      </c>
      <c r="E4" s="9" t="s">
        <v>18</v>
      </c>
      <c r="F4" s="7" t="s">
        <v>44</v>
      </c>
      <c r="G4" s="8" t="s">
        <v>43</v>
      </c>
      <c r="H4" s="8" t="s">
        <v>17</v>
      </c>
      <c r="I4" s="9" t="s">
        <v>18</v>
      </c>
      <c r="J4" s="7" t="s">
        <v>44</v>
      </c>
      <c r="K4" s="8" t="s">
        <v>43</v>
      </c>
      <c r="L4" s="8" t="s">
        <v>17</v>
      </c>
      <c r="M4" s="9" t="s">
        <v>18</v>
      </c>
      <c r="N4" s="7" t="s">
        <v>44</v>
      </c>
      <c r="O4" s="8" t="s">
        <v>43</v>
      </c>
      <c r="P4" s="8" t="s">
        <v>17</v>
      </c>
      <c r="Q4" s="10" t="s">
        <v>18</v>
      </c>
      <c r="R4" s="11"/>
    </row>
    <row r="5" spans="1:18" ht="26.4" x14ac:dyDescent="0.25">
      <c r="A5" t="s">
        <v>0</v>
      </c>
      <c r="B5" s="13">
        <f>138-138+32836+8+420+25</f>
        <v>33289</v>
      </c>
      <c r="C5" s="13">
        <f>33264</f>
        <v>33264</v>
      </c>
      <c r="D5" s="14">
        <f>B5-C5</f>
        <v>25</v>
      </c>
      <c r="E5" s="4" t="s">
        <v>46</v>
      </c>
      <c r="F5" s="15">
        <f>138-138+32836+8+420+25</f>
        <v>33289</v>
      </c>
      <c r="G5" s="15">
        <v>33264</v>
      </c>
      <c r="H5" s="14">
        <f>F5-G5</f>
        <v>25</v>
      </c>
      <c r="I5" s="25" t="s">
        <v>30</v>
      </c>
      <c r="J5" s="16">
        <f>980-350+51-152</f>
        <v>529</v>
      </c>
      <c r="K5" s="16">
        <v>681</v>
      </c>
      <c r="L5" s="17">
        <f>J5-K5</f>
        <v>-152</v>
      </c>
      <c r="M5" s="4" t="s">
        <v>48</v>
      </c>
      <c r="N5" s="18">
        <f>138-138+33816+8+420-350+51+25-152</f>
        <v>33818</v>
      </c>
      <c r="O5" s="24">
        <v>33945</v>
      </c>
      <c r="P5" s="14">
        <f>N5-O5</f>
        <v>-127</v>
      </c>
      <c r="Q5" s="4" t="s">
        <v>49</v>
      </c>
      <c r="R5" s="5"/>
    </row>
    <row r="6" spans="1:18" x14ac:dyDescent="0.25">
      <c r="A6" t="s">
        <v>1</v>
      </c>
      <c r="B6" s="13">
        <v>1360</v>
      </c>
      <c r="C6" s="13">
        <v>1360</v>
      </c>
      <c r="D6" s="14">
        <f t="shared" ref="D6:D15" si="0">B6-C6</f>
        <v>0</v>
      </c>
      <c r="E6" s="4"/>
      <c r="F6" s="15">
        <v>1360</v>
      </c>
      <c r="G6" s="15">
        <v>1360</v>
      </c>
      <c r="H6" s="14">
        <f t="shared" ref="H6:H15" si="1">F6-G6</f>
        <v>0</v>
      </c>
      <c r="I6" s="25"/>
      <c r="J6" s="16">
        <v>1478</v>
      </c>
      <c r="K6" s="16">
        <v>1478</v>
      </c>
      <c r="L6" s="17">
        <f t="shared" ref="L6:L15" si="2">J6-K6</f>
        <v>0</v>
      </c>
      <c r="M6" s="4"/>
      <c r="N6" s="18">
        <v>2838</v>
      </c>
      <c r="O6" s="24">
        <v>2838</v>
      </c>
      <c r="P6" s="14">
        <f t="shared" ref="P6:P15" si="3">N6-O6</f>
        <v>0</v>
      </c>
      <c r="Q6" s="4"/>
      <c r="R6" s="5"/>
    </row>
    <row r="7" spans="1:18" x14ac:dyDescent="0.25">
      <c r="A7" t="s">
        <v>2</v>
      </c>
      <c r="B7" s="13">
        <v>2986</v>
      </c>
      <c r="C7" s="13">
        <v>2986</v>
      </c>
      <c r="D7" s="14">
        <f t="shared" si="0"/>
        <v>0</v>
      </c>
      <c r="E7" s="4"/>
      <c r="F7" s="15">
        <v>2986</v>
      </c>
      <c r="G7" s="15">
        <v>2986</v>
      </c>
      <c r="H7" s="14">
        <f t="shared" si="1"/>
        <v>0</v>
      </c>
      <c r="I7" s="25"/>
      <c r="J7" s="16">
        <v>0</v>
      </c>
      <c r="K7" s="16">
        <v>0</v>
      </c>
      <c r="L7" s="17">
        <f t="shared" si="2"/>
        <v>0</v>
      </c>
      <c r="N7" s="18">
        <v>2986</v>
      </c>
      <c r="O7" s="24">
        <v>2986</v>
      </c>
      <c r="P7" s="14">
        <f t="shared" si="3"/>
        <v>0</v>
      </c>
      <c r="Q7" s="4"/>
      <c r="R7" s="5"/>
    </row>
    <row r="8" spans="1:18" x14ac:dyDescent="0.25">
      <c r="A8" t="s">
        <v>3</v>
      </c>
      <c r="B8" s="13">
        <v>16454</v>
      </c>
      <c r="C8" s="13">
        <v>16454</v>
      </c>
      <c r="D8" s="14">
        <f t="shared" si="0"/>
        <v>0</v>
      </c>
      <c r="E8" s="4"/>
      <c r="F8" s="15">
        <v>17629</v>
      </c>
      <c r="G8" s="15">
        <v>17629</v>
      </c>
      <c r="H8" s="14">
        <f t="shared" si="1"/>
        <v>0</v>
      </c>
      <c r="I8" s="25"/>
      <c r="J8" s="16">
        <v>984</v>
      </c>
      <c r="K8" s="16">
        <v>984</v>
      </c>
      <c r="L8" s="17">
        <f t="shared" si="2"/>
        <v>0</v>
      </c>
      <c r="M8" s="4"/>
      <c r="N8" s="18">
        <v>18613</v>
      </c>
      <c r="O8" s="24">
        <v>18613</v>
      </c>
      <c r="P8" s="14">
        <f t="shared" si="3"/>
        <v>0</v>
      </c>
      <c r="Q8" s="4"/>
      <c r="R8" s="5"/>
    </row>
    <row r="9" spans="1:18" x14ac:dyDescent="0.25">
      <c r="A9" t="s">
        <v>22</v>
      </c>
      <c r="B9" s="13">
        <f>7490-420</f>
        <v>7070</v>
      </c>
      <c r="C9" s="13">
        <v>7070</v>
      </c>
      <c r="D9" s="14">
        <f t="shared" si="0"/>
        <v>0</v>
      </c>
      <c r="E9" s="4"/>
      <c r="F9" s="15">
        <f>7490-420</f>
        <v>7070</v>
      </c>
      <c r="G9" s="15">
        <v>7070</v>
      </c>
      <c r="H9" s="14">
        <f t="shared" si="1"/>
        <v>0</v>
      </c>
      <c r="I9" s="25"/>
      <c r="J9" s="16">
        <v>0</v>
      </c>
      <c r="K9" s="16">
        <v>0</v>
      </c>
      <c r="L9" s="17">
        <f t="shared" si="2"/>
        <v>0</v>
      </c>
      <c r="N9" s="18">
        <f>7490-420</f>
        <v>7070</v>
      </c>
      <c r="O9" s="24">
        <v>7070</v>
      </c>
      <c r="P9" s="14">
        <f t="shared" si="3"/>
        <v>0</v>
      </c>
      <c r="Q9" s="4"/>
      <c r="R9" s="5"/>
    </row>
    <row r="10" spans="1:18" x14ac:dyDescent="0.25">
      <c r="A10" t="s">
        <v>13</v>
      </c>
      <c r="B10" s="13">
        <f>2851</f>
        <v>2851</v>
      </c>
      <c r="C10" s="13">
        <v>2851</v>
      </c>
      <c r="D10" s="14">
        <f t="shared" si="0"/>
        <v>0</v>
      </c>
      <c r="F10" s="15">
        <f>2851</f>
        <v>2851</v>
      </c>
      <c r="G10" s="15">
        <v>2851</v>
      </c>
      <c r="H10" s="14">
        <f t="shared" si="1"/>
        <v>0</v>
      </c>
      <c r="I10" s="25"/>
      <c r="J10" s="16">
        <v>500</v>
      </c>
      <c r="K10" s="16">
        <v>0</v>
      </c>
      <c r="L10" s="17">
        <f t="shared" si="2"/>
        <v>500</v>
      </c>
      <c r="M10" t="s">
        <v>47</v>
      </c>
      <c r="N10" s="18">
        <v>3351</v>
      </c>
      <c r="O10" s="24">
        <v>2851</v>
      </c>
      <c r="P10" s="14">
        <f t="shared" si="3"/>
        <v>500</v>
      </c>
      <c r="Q10" s="4" t="s">
        <v>49</v>
      </c>
      <c r="R10" s="5"/>
    </row>
    <row r="11" spans="1:18" x14ac:dyDescent="0.25">
      <c r="A11" t="s">
        <v>8</v>
      </c>
      <c r="B11" s="13">
        <f>-138+10230</f>
        <v>10092</v>
      </c>
      <c r="C11" s="13">
        <v>10092</v>
      </c>
      <c r="D11" s="14">
        <f t="shared" si="0"/>
        <v>0</v>
      </c>
      <c r="E11" s="4"/>
      <c r="F11" s="15">
        <f>-138+10320</f>
        <v>10182</v>
      </c>
      <c r="G11" s="15">
        <v>10182</v>
      </c>
      <c r="H11" s="14">
        <f t="shared" si="1"/>
        <v>0</v>
      </c>
      <c r="I11" s="25"/>
      <c r="J11" s="16">
        <v>11</v>
      </c>
      <c r="K11" s="16">
        <v>11</v>
      </c>
      <c r="L11" s="17">
        <f t="shared" si="2"/>
        <v>0</v>
      </c>
      <c r="M11" s="4"/>
      <c r="N11" s="18">
        <f>-138+10331</f>
        <v>10193</v>
      </c>
      <c r="O11" s="24">
        <v>10193</v>
      </c>
      <c r="P11" s="14">
        <f t="shared" si="3"/>
        <v>0</v>
      </c>
      <c r="Q11" s="4"/>
      <c r="R11" s="5"/>
    </row>
    <row r="12" spans="1:18" x14ac:dyDescent="0.25">
      <c r="A12" t="s">
        <v>4</v>
      </c>
      <c r="B12" s="13">
        <f>855-8+138</f>
        <v>985</v>
      </c>
      <c r="C12" s="13">
        <v>985</v>
      </c>
      <c r="D12" s="14">
        <f t="shared" si="0"/>
        <v>0</v>
      </c>
      <c r="E12" s="4"/>
      <c r="F12" s="15">
        <f>-8+855+138</f>
        <v>985</v>
      </c>
      <c r="G12" s="15">
        <v>985</v>
      </c>
      <c r="H12" s="14">
        <f t="shared" si="1"/>
        <v>0</v>
      </c>
      <c r="I12" s="25"/>
      <c r="J12" s="16">
        <v>0</v>
      </c>
      <c r="K12" s="16">
        <v>0</v>
      </c>
      <c r="L12" s="17">
        <f t="shared" si="2"/>
        <v>0</v>
      </c>
      <c r="N12" s="18">
        <f>-8+855+138</f>
        <v>985</v>
      </c>
      <c r="O12" s="24">
        <v>985</v>
      </c>
      <c r="P12" s="14">
        <f t="shared" si="3"/>
        <v>0</v>
      </c>
      <c r="Q12" s="4"/>
      <c r="R12" s="5"/>
    </row>
    <row r="13" spans="1:18" x14ac:dyDescent="0.25">
      <c r="A13" t="s">
        <v>9</v>
      </c>
      <c r="B13" s="13">
        <v>-750</v>
      </c>
      <c r="C13" s="13">
        <v>-750</v>
      </c>
      <c r="D13" s="14">
        <f t="shared" si="0"/>
        <v>0</v>
      </c>
      <c r="F13" s="15">
        <v>0</v>
      </c>
      <c r="G13" s="15">
        <v>0</v>
      </c>
      <c r="H13" s="14">
        <f t="shared" si="1"/>
        <v>0</v>
      </c>
      <c r="I13" s="25"/>
      <c r="J13" s="16">
        <v>0</v>
      </c>
      <c r="K13" s="16">
        <v>0</v>
      </c>
      <c r="L13" s="17">
        <f t="shared" si="2"/>
        <v>0</v>
      </c>
      <c r="N13" s="18">
        <v>0</v>
      </c>
      <c r="O13" s="24">
        <v>0</v>
      </c>
      <c r="P13" s="14">
        <f t="shared" si="3"/>
        <v>0</v>
      </c>
      <c r="R13" s="5"/>
    </row>
    <row r="14" spans="1:18" x14ac:dyDescent="0.25">
      <c r="A14" t="s">
        <v>10</v>
      </c>
      <c r="B14" s="13">
        <v>0</v>
      </c>
      <c r="C14" s="13">
        <v>0</v>
      </c>
      <c r="D14" s="14">
        <f t="shared" si="0"/>
        <v>0</v>
      </c>
      <c r="E14" s="4"/>
      <c r="F14" s="15">
        <v>0</v>
      </c>
      <c r="G14" s="15">
        <v>0</v>
      </c>
      <c r="H14" s="14">
        <f t="shared" si="1"/>
        <v>0</v>
      </c>
      <c r="I14" s="25"/>
      <c r="J14" s="16">
        <v>0</v>
      </c>
      <c r="K14" s="16">
        <v>0</v>
      </c>
      <c r="L14" s="17">
        <f t="shared" si="2"/>
        <v>0</v>
      </c>
      <c r="N14" s="18">
        <v>0</v>
      </c>
      <c r="O14" s="24">
        <v>0</v>
      </c>
      <c r="P14" s="14">
        <f t="shared" si="3"/>
        <v>0</v>
      </c>
      <c r="Q14" s="4"/>
      <c r="R14" s="5"/>
    </row>
    <row r="15" spans="1:18" x14ac:dyDescent="0.25">
      <c r="A15" t="s">
        <v>11</v>
      </c>
      <c r="B15" s="13">
        <v>-27758</v>
      </c>
      <c r="C15" s="13">
        <v>-27758</v>
      </c>
      <c r="D15" s="14">
        <f t="shared" si="0"/>
        <v>0</v>
      </c>
      <c r="F15" s="15">
        <v>-27758</v>
      </c>
      <c r="G15" s="15">
        <v>-27758</v>
      </c>
      <c r="H15" s="14">
        <f t="shared" si="1"/>
        <v>0</v>
      </c>
      <c r="J15" s="16">
        <v>27758</v>
      </c>
      <c r="K15" s="16">
        <v>27758</v>
      </c>
      <c r="L15" s="17">
        <f t="shared" si="2"/>
        <v>0</v>
      </c>
      <c r="N15" s="18">
        <v>0</v>
      </c>
      <c r="O15" s="24">
        <v>0</v>
      </c>
      <c r="P15" s="14">
        <f t="shared" si="3"/>
        <v>0</v>
      </c>
      <c r="R15" s="5"/>
    </row>
    <row r="16" spans="1:18" s="22" customFormat="1" x14ac:dyDescent="0.25">
      <c r="A16" s="19"/>
      <c r="B16" s="19">
        <f t="shared" ref="B16:H16" si="4">SUM(B5:B15)</f>
        <v>46579</v>
      </c>
      <c r="C16" s="19">
        <f t="shared" si="4"/>
        <v>46554</v>
      </c>
      <c r="D16" s="19">
        <f t="shared" si="4"/>
        <v>25</v>
      </c>
      <c r="E16" s="20">
        <f t="shared" si="4"/>
        <v>0</v>
      </c>
      <c r="F16" s="21">
        <f t="shared" si="4"/>
        <v>48594</v>
      </c>
      <c r="G16" s="19">
        <f t="shared" si="4"/>
        <v>48569</v>
      </c>
      <c r="H16" s="19">
        <f t="shared" si="4"/>
        <v>25</v>
      </c>
      <c r="I16" s="20"/>
      <c r="J16" s="21">
        <f>SUM(J5:J15)</f>
        <v>31260</v>
      </c>
      <c r="K16" s="19">
        <f>SUM(K5:K15)</f>
        <v>30912</v>
      </c>
      <c r="L16" s="19">
        <f>SUM(L5:L15)</f>
        <v>348</v>
      </c>
      <c r="M16" s="20"/>
      <c r="N16" s="21">
        <f>SUM(N5:N15)</f>
        <v>79854</v>
      </c>
      <c r="O16" s="19">
        <f>SUM(O5:O15)</f>
        <v>79481</v>
      </c>
      <c r="P16" s="19">
        <f>SUM(P5:P15)</f>
        <v>373</v>
      </c>
      <c r="Q16" s="20"/>
      <c r="R16" s="18"/>
    </row>
    <row r="17" spans="6:10" x14ac:dyDescent="0.25">
      <c r="F17" s="1"/>
      <c r="J17" s="23"/>
    </row>
    <row r="18" spans="6:10" x14ac:dyDescent="0.25">
      <c r="J18" s="23"/>
    </row>
  </sheetData>
  <mergeCells count="4">
    <mergeCell ref="B3:E3"/>
    <mergeCell ref="F3:I3"/>
    <mergeCell ref="J3:M3"/>
    <mergeCell ref="N3:Q3"/>
  </mergeCells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8"/>
  <sheetViews>
    <sheetView workbookViewId="0">
      <selection sqref="A1:IV65536"/>
    </sheetView>
  </sheetViews>
  <sheetFormatPr defaultRowHeight="13.2" x14ac:dyDescent="0.25"/>
  <cols>
    <col min="1" max="1" width="26" customWidth="1"/>
    <col min="2" max="2" width="14.44140625" bestFit="1" customWidth="1"/>
    <col min="3" max="3" width="10.44140625" bestFit="1" customWidth="1"/>
    <col min="4" max="4" width="9.33203125" bestFit="1" customWidth="1"/>
    <col min="5" max="5" width="22.33203125" customWidth="1"/>
    <col min="6" max="6" width="10.33203125" bestFit="1" customWidth="1"/>
    <col min="7" max="7" width="10.44140625" bestFit="1" customWidth="1"/>
    <col min="8" max="8" width="9.33203125" bestFit="1" customWidth="1"/>
    <col min="9" max="9" width="19.44140625" customWidth="1"/>
    <col min="10" max="11" width="10.44140625" bestFit="1" customWidth="1"/>
    <col min="12" max="12" width="9.33203125" bestFit="1" customWidth="1"/>
    <col min="13" max="13" width="36.5546875" customWidth="1"/>
    <col min="14" max="15" width="10.44140625" bestFit="1" customWidth="1"/>
    <col min="16" max="16" width="9.33203125" bestFit="1" customWidth="1"/>
    <col min="17" max="17" width="47.33203125" customWidth="1"/>
  </cols>
  <sheetData>
    <row r="1" spans="1:18" x14ac:dyDescent="0.25">
      <c r="A1" s="3" t="s">
        <v>34</v>
      </c>
    </row>
    <row r="2" spans="1:18" x14ac:dyDescent="0.25">
      <c r="A2" s="26" t="s">
        <v>36</v>
      </c>
      <c r="B2" s="26"/>
      <c r="C2" s="26"/>
      <c r="D2" s="27"/>
    </row>
    <row r="3" spans="1:18" x14ac:dyDescent="0.25">
      <c r="B3" s="236" t="s">
        <v>14</v>
      </c>
      <c r="C3" s="236"/>
      <c r="D3" s="236"/>
      <c r="E3" s="236"/>
      <c r="F3" s="236" t="s">
        <v>15</v>
      </c>
      <c r="G3" s="236"/>
      <c r="H3" s="236"/>
      <c r="I3" s="236"/>
      <c r="J3" s="236" t="s">
        <v>12</v>
      </c>
      <c r="K3" s="236"/>
      <c r="L3" s="236"/>
      <c r="M3" s="236"/>
      <c r="N3" s="236" t="s">
        <v>16</v>
      </c>
      <c r="O3" s="236"/>
      <c r="P3" s="236"/>
      <c r="Q3" s="236"/>
      <c r="R3" s="5"/>
    </row>
    <row r="4" spans="1:18" s="12" customFormat="1" ht="30.6" x14ac:dyDescent="0.2">
      <c r="A4" s="6" t="s">
        <v>7</v>
      </c>
      <c r="B4" s="7" t="s">
        <v>35</v>
      </c>
      <c r="C4" s="8" t="s">
        <v>27</v>
      </c>
      <c r="D4" s="8" t="s">
        <v>17</v>
      </c>
      <c r="E4" s="9" t="s">
        <v>18</v>
      </c>
      <c r="F4" s="7" t="s">
        <v>35</v>
      </c>
      <c r="G4" s="8" t="s">
        <v>27</v>
      </c>
      <c r="H4" s="8" t="s">
        <v>17</v>
      </c>
      <c r="I4" s="9" t="s">
        <v>18</v>
      </c>
      <c r="J4" s="7" t="s">
        <v>35</v>
      </c>
      <c r="K4" s="8" t="s">
        <v>27</v>
      </c>
      <c r="L4" s="8" t="s">
        <v>17</v>
      </c>
      <c r="M4" s="9" t="s">
        <v>18</v>
      </c>
      <c r="N4" s="7" t="s">
        <v>35</v>
      </c>
      <c r="O4" s="8" t="s">
        <v>27</v>
      </c>
      <c r="P4" s="8" t="s">
        <v>17</v>
      </c>
      <c r="Q4" s="10" t="s">
        <v>18</v>
      </c>
      <c r="R4" s="11"/>
    </row>
    <row r="5" spans="1:18" ht="145.19999999999999" x14ac:dyDescent="0.25">
      <c r="A5" t="s">
        <v>0</v>
      </c>
      <c r="B5" s="13">
        <f>138-138+32836+8+420</f>
        <v>33264</v>
      </c>
      <c r="C5" s="13">
        <v>32836</v>
      </c>
      <c r="D5" s="14">
        <f>B5-C5</f>
        <v>428</v>
      </c>
      <c r="E5" s="4" t="s">
        <v>39</v>
      </c>
      <c r="F5" s="15">
        <f>138-138+32836+8+420</f>
        <v>33264</v>
      </c>
      <c r="G5" s="15">
        <v>32836</v>
      </c>
      <c r="H5" s="14">
        <f>F5-G5</f>
        <v>428</v>
      </c>
      <c r="I5" s="25" t="s">
        <v>30</v>
      </c>
      <c r="J5" s="16">
        <f>980-350+51</f>
        <v>681</v>
      </c>
      <c r="K5" s="16">
        <v>980</v>
      </c>
      <c r="L5" s="17">
        <f>J5-K5</f>
        <v>-299</v>
      </c>
      <c r="M5" s="4" t="s">
        <v>41</v>
      </c>
      <c r="N5" s="18">
        <f>138-138+33816+8+420-350+51</f>
        <v>33945</v>
      </c>
      <c r="O5" s="24">
        <v>33816</v>
      </c>
      <c r="P5" s="14">
        <f>N5-O5</f>
        <v>129</v>
      </c>
      <c r="Q5" s="4" t="s">
        <v>40</v>
      </c>
      <c r="R5" s="5"/>
    </row>
    <row r="6" spans="1:18" x14ac:dyDescent="0.25">
      <c r="A6" t="s">
        <v>1</v>
      </c>
      <c r="B6" s="13">
        <v>1360</v>
      </c>
      <c r="C6" s="13">
        <v>1360</v>
      </c>
      <c r="D6" s="14">
        <f t="shared" ref="D6:D15" si="0">B6-C6</f>
        <v>0</v>
      </c>
      <c r="E6" s="4"/>
      <c r="F6" s="15">
        <v>1360</v>
      </c>
      <c r="G6" s="15">
        <v>1360</v>
      </c>
      <c r="H6" s="14">
        <f t="shared" ref="H6:H15" si="1">F6-G6</f>
        <v>0</v>
      </c>
      <c r="I6" s="25"/>
      <c r="J6" s="16">
        <v>1478</v>
      </c>
      <c r="K6" s="16">
        <v>1478</v>
      </c>
      <c r="L6" s="17">
        <f t="shared" ref="L6:L15" si="2">J6-K6</f>
        <v>0</v>
      </c>
      <c r="M6" s="4"/>
      <c r="N6" s="18">
        <v>2838</v>
      </c>
      <c r="O6" s="24">
        <v>2838</v>
      </c>
      <c r="P6" s="14">
        <f t="shared" ref="P6:P15" si="3">N6-O6</f>
        <v>0</v>
      </c>
      <c r="Q6" s="4"/>
      <c r="R6" s="5"/>
    </row>
    <row r="7" spans="1:18" x14ac:dyDescent="0.25">
      <c r="A7" t="s">
        <v>2</v>
      </c>
      <c r="B7" s="13">
        <v>2986</v>
      </c>
      <c r="C7" s="13">
        <v>2986</v>
      </c>
      <c r="D7" s="14">
        <f t="shared" si="0"/>
        <v>0</v>
      </c>
      <c r="E7" s="4"/>
      <c r="F7" s="15">
        <v>2986</v>
      </c>
      <c r="G7" s="15">
        <v>2986</v>
      </c>
      <c r="H7" s="14">
        <f t="shared" si="1"/>
        <v>0</v>
      </c>
      <c r="I7" s="25"/>
      <c r="J7" s="16">
        <v>0</v>
      </c>
      <c r="K7" s="16">
        <v>0</v>
      </c>
      <c r="L7" s="17">
        <f t="shared" si="2"/>
        <v>0</v>
      </c>
      <c r="N7" s="18">
        <v>2986</v>
      </c>
      <c r="O7" s="24">
        <v>2986</v>
      </c>
      <c r="P7" s="14">
        <f t="shared" si="3"/>
        <v>0</v>
      </c>
      <c r="Q7" s="4"/>
      <c r="R7" s="5"/>
    </row>
    <row r="8" spans="1:18" x14ac:dyDescent="0.25">
      <c r="A8" t="s">
        <v>3</v>
      </c>
      <c r="B8" s="13">
        <v>16454</v>
      </c>
      <c r="C8" s="13">
        <v>16454</v>
      </c>
      <c r="D8" s="14">
        <f t="shared" si="0"/>
        <v>0</v>
      </c>
      <c r="E8" s="4"/>
      <c r="F8" s="15">
        <v>17629</v>
      </c>
      <c r="G8" s="15">
        <v>17629</v>
      </c>
      <c r="H8" s="14">
        <f t="shared" si="1"/>
        <v>0</v>
      </c>
      <c r="I8" s="25"/>
      <c r="J8" s="16">
        <v>984</v>
      </c>
      <c r="K8" s="16">
        <v>984</v>
      </c>
      <c r="L8" s="17">
        <f t="shared" si="2"/>
        <v>0</v>
      </c>
      <c r="M8" s="4"/>
      <c r="N8" s="18">
        <v>18613</v>
      </c>
      <c r="O8" s="24">
        <v>18613</v>
      </c>
      <c r="P8" s="14">
        <f t="shared" si="3"/>
        <v>0</v>
      </c>
      <c r="Q8" s="4"/>
      <c r="R8" s="5"/>
    </row>
    <row r="9" spans="1:18" ht="39.6" x14ac:dyDescent="0.25">
      <c r="A9" t="s">
        <v>22</v>
      </c>
      <c r="B9" s="13">
        <f>7490-420</f>
        <v>7070</v>
      </c>
      <c r="C9" s="13">
        <v>7490</v>
      </c>
      <c r="D9" s="14">
        <f t="shared" si="0"/>
        <v>-420</v>
      </c>
      <c r="E9" s="4" t="s">
        <v>42</v>
      </c>
      <c r="F9" s="15">
        <f>7490-420</f>
        <v>7070</v>
      </c>
      <c r="G9" s="15">
        <v>7490</v>
      </c>
      <c r="H9" s="14">
        <f t="shared" si="1"/>
        <v>-420</v>
      </c>
      <c r="I9" s="25" t="s">
        <v>30</v>
      </c>
      <c r="J9" s="16">
        <v>0</v>
      </c>
      <c r="K9" s="16">
        <v>0</v>
      </c>
      <c r="L9" s="17">
        <f t="shared" si="2"/>
        <v>0</v>
      </c>
      <c r="N9" s="18">
        <f>7490-420</f>
        <v>7070</v>
      </c>
      <c r="O9" s="24">
        <v>7490</v>
      </c>
      <c r="P9" s="14">
        <f t="shared" si="3"/>
        <v>-420</v>
      </c>
      <c r="Q9" s="4" t="s">
        <v>30</v>
      </c>
      <c r="R9" s="5"/>
    </row>
    <row r="10" spans="1:18" x14ac:dyDescent="0.25">
      <c r="A10" t="s">
        <v>13</v>
      </c>
      <c r="B10" s="13">
        <f>2851</f>
        <v>2851</v>
      </c>
      <c r="C10" s="13">
        <v>2851</v>
      </c>
      <c r="D10" s="14">
        <f t="shared" si="0"/>
        <v>0</v>
      </c>
      <c r="F10" s="15">
        <f>2851</f>
        <v>2851</v>
      </c>
      <c r="G10" s="15">
        <v>2851</v>
      </c>
      <c r="H10" s="14">
        <f t="shared" si="1"/>
        <v>0</v>
      </c>
      <c r="I10" s="25"/>
      <c r="J10" s="16">
        <v>0</v>
      </c>
      <c r="K10" s="16">
        <v>0</v>
      </c>
      <c r="L10" s="17">
        <f t="shared" si="2"/>
        <v>0</v>
      </c>
      <c r="N10" s="18">
        <f>2851</f>
        <v>2851</v>
      </c>
      <c r="O10" s="24">
        <v>2851</v>
      </c>
      <c r="P10" s="14">
        <f t="shared" si="3"/>
        <v>0</v>
      </c>
      <c r="Q10" s="4"/>
      <c r="R10" s="5"/>
    </row>
    <row r="11" spans="1:18" ht="26.4" x14ac:dyDescent="0.25">
      <c r="A11" t="s">
        <v>8</v>
      </c>
      <c r="B11" s="13">
        <f>-138+10230</f>
        <v>10092</v>
      </c>
      <c r="C11" s="13">
        <v>10230</v>
      </c>
      <c r="D11" s="14">
        <f t="shared" si="0"/>
        <v>-138</v>
      </c>
      <c r="E11" s="4" t="s">
        <v>37</v>
      </c>
      <c r="F11" s="15">
        <f>-138+10320</f>
        <v>10182</v>
      </c>
      <c r="G11" s="15">
        <v>10320</v>
      </c>
      <c r="H11" s="14">
        <f t="shared" si="1"/>
        <v>-138</v>
      </c>
      <c r="I11" s="25" t="s">
        <v>30</v>
      </c>
      <c r="J11" s="16">
        <v>11</v>
      </c>
      <c r="K11" s="16">
        <v>11</v>
      </c>
      <c r="L11" s="17">
        <f t="shared" si="2"/>
        <v>0</v>
      </c>
      <c r="M11" s="4"/>
      <c r="N11" s="18">
        <f>-138+10331</f>
        <v>10193</v>
      </c>
      <c r="O11" s="24">
        <v>10331</v>
      </c>
      <c r="P11" s="14">
        <f t="shared" si="3"/>
        <v>-138</v>
      </c>
      <c r="Q11" s="4" t="s">
        <v>30</v>
      </c>
      <c r="R11" s="5"/>
    </row>
    <row r="12" spans="1:18" ht="79.2" x14ac:dyDescent="0.25">
      <c r="A12" t="s">
        <v>4</v>
      </c>
      <c r="B12" s="13">
        <f>855-8+138</f>
        <v>985</v>
      </c>
      <c r="C12" s="13">
        <v>855</v>
      </c>
      <c r="D12" s="14">
        <f t="shared" si="0"/>
        <v>130</v>
      </c>
      <c r="E12" s="4" t="s">
        <v>38</v>
      </c>
      <c r="F12" s="15">
        <f>-8+855+138</f>
        <v>985</v>
      </c>
      <c r="G12" s="15">
        <v>855</v>
      </c>
      <c r="H12" s="14">
        <f t="shared" si="1"/>
        <v>130</v>
      </c>
      <c r="I12" s="25" t="s">
        <v>30</v>
      </c>
      <c r="J12" s="16">
        <v>0</v>
      </c>
      <c r="K12" s="16">
        <v>0</v>
      </c>
      <c r="L12" s="17">
        <f t="shared" si="2"/>
        <v>0</v>
      </c>
      <c r="N12" s="18">
        <f>-8+855+138</f>
        <v>985</v>
      </c>
      <c r="O12" s="24">
        <v>855</v>
      </c>
      <c r="P12" s="14">
        <f t="shared" si="3"/>
        <v>130</v>
      </c>
      <c r="Q12" s="4" t="s">
        <v>30</v>
      </c>
      <c r="R12" s="5"/>
    </row>
    <row r="13" spans="1:18" x14ac:dyDescent="0.25">
      <c r="A13" t="s">
        <v>9</v>
      </c>
      <c r="B13" s="13">
        <v>-750</v>
      </c>
      <c r="C13" s="13">
        <v>-750</v>
      </c>
      <c r="D13" s="14">
        <f t="shared" si="0"/>
        <v>0</v>
      </c>
      <c r="F13" s="15">
        <v>0</v>
      </c>
      <c r="G13" s="15">
        <v>0</v>
      </c>
      <c r="H13" s="14">
        <f t="shared" si="1"/>
        <v>0</v>
      </c>
      <c r="I13" s="25"/>
      <c r="J13" s="16">
        <v>0</v>
      </c>
      <c r="K13" s="16">
        <v>0</v>
      </c>
      <c r="L13" s="17">
        <f t="shared" si="2"/>
        <v>0</v>
      </c>
      <c r="N13" s="18">
        <v>0</v>
      </c>
      <c r="O13" s="24">
        <v>0</v>
      </c>
      <c r="P13" s="14">
        <f t="shared" si="3"/>
        <v>0</v>
      </c>
      <c r="R13" s="5"/>
    </row>
    <row r="14" spans="1:18" x14ac:dyDescent="0.25">
      <c r="A14" t="s">
        <v>10</v>
      </c>
      <c r="B14" s="13">
        <v>0</v>
      </c>
      <c r="C14" s="13">
        <v>0</v>
      </c>
      <c r="D14" s="14">
        <f t="shared" si="0"/>
        <v>0</v>
      </c>
      <c r="E14" s="4"/>
      <c r="F14" s="15">
        <v>0</v>
      </c>
      <c r="G14" s="15">
        <v>0</v>
      </c>
      <c r="H14" s="14">
        <f t="shared" si="1"/>
        <v>0</v>
      </c>
      <c r="I14" s="25"/>
      <c r="J14" s="16">
        <v>0</v>
      </c>
      <c r="K14" s="16">
        <v>0</v>
      </c>
      <c r="L14" s="17">
        <f t="shared" si="2"/>
        <v>0</v>
      </c>
      <c r="N14" s="18">
        <v>0</v>
      </c>
      <c r="O14" s="24">
        <v>0</v>
      </c>
      <c r="P14" s="14">
        <f t="shared" si="3"/>
        <v>0</v>
      </c>
      <c r="Q14" s="4"/>
      <c r="R14" s="5"/>
    </row>
    <row r="15" spans="1:18" x14ac:dyDescent="0.25">
      <c r="A15" t="s">
        <v>11</v>
      </c>
      <c r="B15" s="13">
        <v>-27758</v>
      </c>
      <c r="C15" s="13">
        <v>-27758</v>
      </c>
      <c r="D15" s="14">
        <f t="shared" si="0"/>
        <v>0</v>
      </c>
      <c r="F15" s="15">
        <v>-27758</v>
      </c>
      <c r="G15" s="15">
        <v>-27758</v>
      </c>
      <c r="H15" s="14">
        <f t="shared" si="1"/>
        <v>0</v>
      </c>
      <c r="J15" s="16">
        <v>27758</v>
      </c>
      <c r="K15" s="16">
        <v>27758</v>
      </c>
      <c r="L15" s="17">
        <f t="shared" si="2"/>
        <v>0</v>
      </c>
      <c r="N15" s="18">
        <v>0</v>
      </c>
      <c r="O15" s="24">
        <v>0</v>
      </c>
      <c r="P15" s="14">
        <f t="shared" si="3"/>
        <v>0</v>
      </c>
      <c r="R15" s="5"/>
    </row>
    <row r="16" spans="1:18" s="22" customFormat="1" x14ac:dyDescent="0.25">
      <c r="A16" s="19"/>
      <c r="B16" s="19">
        <f t="shared" ref="B16:H16" si="4">SUM(B5:B15)</f>
        <v>46554</v>
      </c>
      <c r="C16" s="19">
        <f t="shared" si="4"/>
        <v>46554</v>
      </c>
      <c r="D16" s="19">
        <f t="shared" si="4"/>
        <v>0</v>
      </c>
      <c r="E16" s="20">
        <f t="shared" si="4"/>
        <v>0</v>
      </c>
      <c r="F16" s="21">
        <f t="shared" si="4"/>
        <v>48569</v>
      </c>
      <c r="G16" s="19">
        <f t="shared" si="4"/>
        <v>48569</v>
      </c>
      <c r="H16" s="19">
        <f t="shared" si="4"/>
        <v>0</v>
      </c>
      <c r="I16" s="20"/>
      <c r="J16" s="21">
        <f>SUM(J5:J15)</f>
        <v>30912</v>
      </c>
      <c r="K16" s="19">
        <f>SUM(K5:K15)</f>
        <v>31211</v>
      </c>
      <c r="L16" s="19">
        <f>SUM(L5:L15)</f>
        <v>-299</v>
      </c>
      <c r="M16" s="20"/>
      <c r="N16" s="21">
        <f>SUM(N5:N15)</f>
        <v>79481</v>
      </c>
      <c r="O16" s="19">
        <f>SUM(O5:O15)</f>
        <v>79780</v>
      </c>
      <c r="P16" s="19">
        <f>SUM(P5:P15)</f>
        <v>-299</v>
      </c>
      <c r="Q16" s="20"/>
      <c r="R16" s="18"/>
    </row>
    <row r="17" spans="6:10" x14ac:dyDescent="0.25">
      <c r="F17" s="1"/>
      <c r="J17" s="23"/>
    </row>
    <row r="18" spans="6:10" x14ac:dyDescent="0.25">
      <c r="J18" s="23"/>
    </row>
  </sheetData>
  <mergeCells count="4">
    <mergeCell ref="B3:E3"/>
    <mergeCell ref="F3:I3"/>
    <mergeCell ref="J3:M3"/>
    <mergeCell ref="N3:Q3"/>
  </mergeCells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8"/>
  <sheetViews>
    <sheetView workbookViewId="0">
      <selection sqref="A1:IV65536"/>
    </sheetView>
  </sheetViews>
  <sheetFormatPr defaultRowHeight="13.2" x14ac:dyDescent="0.25"/>
  <cols>
    <col min="1" max="1" width="26" customWidth="1"/>
    <col min="2" max="2" width="14.44140625" bestFit="1" customWidth="1"/>
    <col min="3" max="3" width="10.44140625" bestFit="1" customWidth="1"/>
    <col min="4" max="4" width="9.33203125" bestFit="1" customWidth="1"/>
    <col min="5" max="5" width="22.33203125" customWidth="1"/>
    <col min="6" max="6" width="10.33203125" bestFit="1" customWidth="1"/>
    <col min="7" max="7" width="10.44140625" bestFit="1" customWidth="1"/>
    <col min="8" max="8" width="9.33203125" bestFit="1" customWidth="1"/>
    <col min="9" max="9" width="19.44140625" customWidth="1"/>
    <col min="10" max="11" width="10.44140625" bestFit="1" customWidth="1"/>
    <col min="12" max="12" width="9.33203125" bestFit="1" customWidth="1"/>
    <col min="13" max="13" width="36.5546875" customWidth="1"/>
    <col min="14" max="15" width="10.44140625" bestFit="1" customWidth="1"/>
    <col min="16" max="16" width="9.33203125" bestFit="1" customWidth="1"/>
    <col min="17" max="17" width="47.33203125" customWidth="1"/>
  </cols>
  <sheetData>
    <row r="1" spans="1:18" x14ac:dyDescent="0.25">
      <c r="A1" s="3" t="s">
        <v>26</v>
      </c>
    </row>
    <row r="2" spans="1:18" x14ac:dyDescent="0.25">
      <c r="A2" s="26" t="s">
        <v>31</v>
      </c>
      <c r="B2" s="26"/>
      <c r="C2" s="26"/>
    </row>
    <row r="3" spans="1:18" x14ac:dyDescent="0.25">
      <c r="B3" s="236" t="s">
        <v>14</v>
      </c>
      <c r="C3" s="236"/>
      <c r="D3" s="236"/>
      <c r="E3" s="236"/>
      <c r="F3" s="236" t="s">
        <v>15</v>
      </c>
      <c r="G3" s="236"/>
      <c r="H3" s="236"/>
      <c r="I3" s="236"/>
      <c r="J3" s="236" t="s">
        <v>12</v>
      </c>
      <c r="K3" s="236"/>
      <c r="L3" s="236"/>
      <c r="M3" s="236"/>
      <c r="N3" s="236" t="s">
        <v>16</v>
      </c>
      <c r="O3" s="236"/>
      <c r="P3" s="236"/>
      <c r="Q3" s="236"/>
      <c r="R3" s="5"/>
    </row>
    <row r="4" spans="1:18" s="12" customFormat="1" ht="30.6" x14ac:dyDescent="0.2">
      <c r="A4" s="6" t="s">
        <v>7</v>
      </c>
      <c r="B4" s="7" t="s">
        <v>28</v>
      </c>
      <c r="C4" s="8" t="s">
        <v>27</v>
      </c>
      <c r="D4" s="8" t="s">
        <v>17</v>
      </c>
      <c r="E4" s="9" t="s">
        <v>18</v>
      </c>
      <c r="F4" s="7" t="s">
        <v>28</v>
      </c>
      <c r="G4" s="8" t="s">
        <v>27</v>
      </c>
      <c r="H4" s="8" t="s">
        <v>17</v>
      </c>
      <c r="I4" s="9" t="s">
        <v>18</v>
      </c>
      <c r="J4" s="7" t="s">
        <v>28</v>
      </c>
      <c r="K4" s="8" t="s">
        <v>27</v>
      </c>
      <c r="L4" s="8" t="s">
        <v>17</v>
      </c>
      <c r="M4" s="9" t="s">
        <v>18</v>
      </c>
      <c r="N4" s="7" t="s">
        <v>28</v>
      </c>
      <c r="O4" s="8" t="s">
        <v>27</v>
      </c>
      <c r="P4" s="8" t="s">
        <v>17</v>
      </c>
      <c r="Q4" s="10" t="s">
        <v>18</v>
      </c>
      <c r="R4" s="11"/>
    </row>
    <row r="5" spans="1:18" ht="79.2" x14ac:dyDescent="0.25">
      <c r="A5" t="s">
        <v>0</v>
      </c>
      <c r="B5" s="13">
        <f>138+32836+8</f>
        <v>32982</v>
      </c>
      <c r="C5" s="13">
        <v>32836</v>
      </c>
      <c r="D5" s="14">
        <f>B5-C5</f>
        <v>146</v>
      </c>
      <c r="E5" s="4" t="s">
        <v>33</v>
      </c>
      <c r="F5" s="15">
        <f>138+32836+8</f>
        <v>32982</v>
      </c>
      <c r="G5" s="15">
        <v>32836</v>
      </c>
      <c r="H5" s="14">
        <f>F5-G5</f>
        <v>146</v>
      </c>
      <c r="I5" s="25" t="s">
        <v>30</v>
      </c>
      <c r="J5" s="16">
        <v>980</v>
      </c>
      <c r="K5" s="16">
        <v>980</v>
      </c>
      <c r="L5" s="17">
        <f>J5-K5</f>
        <v>0</v>
      </c>
      <c r="M5" s="4"/>
      <c r="N5" s="18">
        <f>138+33816+8</f>
        <v>33962</v>
      </c>
      <c r="O5" s="24">
        <v>33816</v>
      </c>
      <c r="P5" s="14">
        <f>N5-O5</f>
        <v>146</v>
      </c>
      <c r="Q5" s="4" t="s">
        <v>30</v>
      </c>
      <c r="R5" s="5"/>
    </row>
    <row r="6" spans="1:18" x14ac:dyDescent="0.25">
      <c r="A6" t="s">
        <v>1</v>
      </c>
      <c r="B6" s="13">
        <v>1360</v>
      </c>
      <c r="C6" s="13">
        <v>1360</v>
      </c>
      <c r="D6" s="14">
        <f t="shared" ref="D6:D15" si="0">B6-C6</f>
        <v>0</v>
      </c>
      <c r="E6" s="4"/>
      <c r="F6" s="15">
        <v>1360</v>
      </c>
      <c r="G6" s="15">
        <v>1360</v>
      </c>
      <c r="H6" s="14">
        <f t="shared" ref="H6:H15" si="1">F6-G6</f>
        <v>0</v>
      </c>
      <c r="I6" s="25"/>
      <c r="J6" s="16">
        <v>1478</v>
      </c>
      <c r="K6" s="16">
        <v>1478</v>
      </c>
      <c r="L6" s="17">
        <f t="shared" ref="L6:L15" si="2">J6-K6</f>
        <v>0</v>
      </c>
      <c r="M6" s="4"/>
      <c r="N6" s="18">
        <v>2838</v>
      </c>
      <c r="O6" s="24">
        <v>2838</v>
      </c>
      <c r="P6" s="14">
        <f t="shared" ref="P6:P15" si="3">N6-O6</f>
        <v>0</v>
      </c>
      <c r="Q6" s="4"/>
      <c r="R6" s="5"/>
    </row>
    <row r="7" spans="1:18" x14ac:dyDescent="0.25">
      <c r="A7" t="s">
        <v>2</v>
      </c>
      <c r="B7" s="13">
        <v>2986</v>
      </c>
      <c r="C7" s="13">
        <v>2986</v>
      </c>
      <c r="D7" s="14">
        <f t="shared" si="0"/>
        <v>0</v>
      </c>
      <c r="E7" s="4"/>
      <c r="F7" s="15">
        <v>2986</v>
      </c>
      <c r="G7" s="15">
        <v>2986</v>
      </c>
      <c r="H7" s="14">
        <f t="shared" si="1"/>
        <v>0</v>
      </c>
      <c r="I7" s="25"/>
      <c r="J7" s="16">
        <v>0</v>
      </c>
      <c r="K7" s="16">
        <v>0</v>
      </c>
      <c r="L7" s="17">
        <f t="shared" si="2"/>
        <v>0</v>
      </c>
      <c r="N7" s="18">
        <v>2986</v>
      </c>
      <c r="O7" s="24">
        <v>2986</v>
      </c>
      <c r="P7" s="14">
        <f t="shared" si="3"/>
        <v>0</v>
      </c>
      <c r="Q7" s="4"/>
      <c r="R7" s="5"/>
    </row>
    <row r="8" spans="1:18" x14ac:dyDescent="0.25">
      <c r="A8" t="s">
        <v>3</v>
      </c>
      <c r="B8" s="13">
        <v>16454</v>
      </c>
      <c r="C8" s="13">
        <v>16454</v>
      </c>
      <c r="D8" s="14">
        <f t="shared" si="0"/>
        <v>0</v>
      </c>
      <c r="E8" s="4"/>
      <c r="F8" s="15">
        <v>17629</v>
      </c>
      <c r="G8" s="15">
        <v>17629</v>
      </c>
      <c r="H8" s="14">
        <f t="shared" si="1"/>
        <v>0</v>
      </c>
      <c r="I8" s="25"/>
      <c r="J8" s="16">
        <v>984</v>
      </c>
      <c r="K8" s="16">
        <v>984</v>
      </c>
      <c r="L8" s="17">
        <f t="shared" si="2"/>
        <v>0</v>
      </c>
      <c r="M8" s="4"/>
      <c r="N8" s="18">
        <v>18613</v>
      </c>
      <c r="O8" s="24">
        <v>18613</v>
      </c>
      <c r="P8" s="14">
        <f t="shared" si="3"/>
        <v>0</v>
      </c>
      <c r="Q8" s="4"/>
      <c r="R8" s="5"/>
    </row>
    <row r="9" spans="1:18" x14ac:dyDescent="0.25">
      <c r="A9" t="s">
        <v>22</v>
      </c>
      <c r="B9" s="13">
        <v>7490</v>
      </c>
      <c r="C9" s="13">
        <v>7490</v>
      </c>
      <c r="D9" s="14">
        <f t="shared" si="0"/>
        <v>0</v>
      </c>
      <c r="E9" s="4"/>
      <c r="F9" s="15">
        <v>7490</v>
      </c>
      <c r="G9" s="15">
        <v>7490</v>
      </c>
      <c r="H9" s="14">
        <f t="shared" si="1"/>
        <v>0</v>
      </c>
      <c r="I9" s="25"/>
      <c r="J9" s="16">
        <v>0</v>
      </c>
      <c r="K9" s="16">
        <v>0</v>
      </c>
      <c r="L9" s="17">
        <f t="shared" si="2"/>
        <v>0</v>
      </c>
      <c r="N9" s="18">
        <v>7490</v>
      </c>
      <c r="O9" s="24">
        <v>7490</v>
      </c>
      <c r="P9" s="14">
        <f t="shared" si="3"/>
        <v>0</v>
      </c>
      <c r="Q9" s="4"/>
      <c r="R9" s="5"/>
    </row>
    <row r="10" spans="1:18" x14ac:dyDescent="0.25">
      <c r="A10" t="s">
        <v>13</v>
      </c>
      <c r="B10" s="13">
        <v>2851</v>
      </c>
      <c r="C10" s="13">
        <v>2851</v>
      </c>
      <c r="D10" s="14">
        <f t="shared" si="0"/>
        <v>0</v>
      </c>
      <c r="E10" s="4"/>
      <c r="F10" s="15">
        <v>2851</v>
      </c>
      <c r="G10" s="15">
        <v>2851</v>
      </c>
      <c r="H10" s="14">
        <f t="shared" si="1"/>
        <v>0</v>
      </c>
      <c r="I10" s="25"/>
      <c r="J10" s="16">
        <v>0</v>
      </c>
      <c r="K10" s="16">
        <v>0</v>
      </c>
      <c r="L10" s="17">
        <f t="shared" si="2"/>
        <v>0</v>
      </c>
      <c r="N10" s="18">
        <v>2851</v>
      </c>
      <c r="O10" s="24">
        <v>2851</v>
      </c>
      <c r="P10" s="14">
        <f t="shared" si="3"/>
        <v>0</v>
      </c>
      <c r="Q10" s="4"/>
      <c r="R10" s="5"/>
    </row>
    <row r="11" spans="1:18" ht="26.4" x14ac:dyDescent="0.25">
      <c r="A11" t="s">
        <v>8</v>
      </c>
      <c r="B11" s="13">
        <f>-138+10230</f>
        <v>10092</v>
      </c>
      <c r="C11" s="13">
        <v>10230</v>
      </c>
      <c r="D11" s="14">
        <f t="shared" si="0"/>
        <v>-138</v>
      </c>
      <c r="E11" s="4" t="s">
        <v>29</v>
      </c>
      <c r="F11" s="15">
        <f>-138+10320</f>
        <v>10182</v>
      </c>
      <c r="G11" s="15">
        <v>10320</v>
      </c>
      <c r="H11" s="14">
        <f t="shared" si="1"/>
        <v>-138</v>
      </c>
      <c r="I11" s="25" t="s">
        <v>30</v>
      </c>
      <c r="J11" s="16">
        <v>11</v>
      </c>
      <c r="K11" s="16">
        <v>11</v>
      </c>
      <c r="L11" s="17">
        <f t="shared" si="2"/>
        <v>0</v>
      </c>
      <c r="M11" s="4"/>
      <c r="N11" s="18">
        <f>-138+10331</f>
        <v>10193</v>
      </c>
      <c r="O11" s="24">
        <v>10331</v>
      </c>
      <c r="P11" s="14">
        <f t="shared" si="3"/>
        <v>-138</v>
      </c>
      <c r="Q11" s="4" t="s">
        <v>30</v>
      </c>
      <c r="R11" s="5"/>
    </row>
    <row r="12" spans="1:18" ht="52.8" x14ac:dyDescent="0.25">
      <c r="A12" t="s">
        <v>4</v>
      </c>
      <c r="B12" s="13">
        <f>855-8</f>
        <v>847</v>
      </c>
      <c r="C12" s="13">
        <v>855</v>
      </c>
      <c r="D12" s="14">
        <f t="shared" si="0"/>
        <v>-8</v>
      </c>
      <c r="E12" s="4" t="s">
        <v>32</v>
      </c>
      <c r="F12" s="15">
        <f>-8+855</f>
        <v>847</v>
      </c>
      <c r="G12" s="15">
        <v>855</v>
      </c>
      <c r="H12" s="14">
        <f t="shared" si="1"/>
        <v>-8</v>
      </c>
      <c r="I12" s="25" t="s">
        <v>30</v>
      </c>
      <c r="J12" s="16">
        <v>0</v>
      </c>
      <c r="K12" s="16">
        <v>0</v>
      </c>
      <c r="L12" s="17">
        <f t="shared" si="2"/>
        <v>0</v>
      </c>
      <c r="N12" s="18">
        <f>-8+855</f>
        <v>847</v>
      </c>
      <c r="O12" s="24">
        <v>855</v>
      </c>
      <c r="P12" s="14">
        <f t="shared" si="3"/>
        <v>-8</v>
      </c>
      <c r="Q12" s="4" t="s">
        <v>30</v>
      </c>
      <c r="R12" s="5"/>
    </row>
    <row r="13" spans="1:18" x14ac:dyDescent="0.25">
      <c r="A13" t="s">
        <v>9</v>
      </c>
      <c r="B13" s="13">
        <v>-750</v>
      </c>
      <c r="C13" s="13">
        <v>-750</v>
      </c>
      <c r="D13" s="14">
        <f t="shared" si="0"/>
        <v>0</v>
      </c>
      <c r="F13" s="15">
        <v>0</v>
      </c>
      <c r="G13" s="15">
        <v>0</v>
      </c>
      <c r="H13" s="14">
        <f t="shared" si="1"/>
        <v>0</v>
      </c>
      <c r="I13" s="25"/>
      <c r="J13" s="16">
        <v>0</v>
      </c>
      <c r="K13" s="16">
        <v>0</v>
      </c>
      <c r="L13" s="17">
        <f t="shared" si="2"/>
        <v>0</v>
      </c>
      <c r="N13" s="18">
        <v>0</v>
      </c>
      <c r="O13" s="24">
        <v>0</v>
      </c>
      <c r="P13" s="14">
        <f t="shared" si="3"/>
        <v>0</v>
      </c>
      <c r="R13" s="5"/>
    </row>
    <row r="14" spans="1:18" x14ac:dyDescent="0.25">
      <c r="A14" t="s">
        <v>10</v>
      </c>
      <c r="B14" s="13">
        <v>0</v>
      </c>
      <c r="C14" s="13">
        <v>0</v>
      </c>
      <c r="D14" s="14">
        <f t="shared" si="0"/>
        <v>0</v>
      </c>
      <c r="E14" s="4"/>
      <c r="F14" s="15">
        <v>0</v>
      </c>
      <c r="G14" s="15">
        <v>0</v>
      </c>
      <c r="H14" s="14">
        <f t="shared" si="1"/>
        <v>0</v>
      </c>
      <c r="I14" s="25"/>
      <c r="J14" s="16">
        <v>0</v>
      </c>
      <c r="K14" s="16">
        <v>0</v>
      </c>
      <c r="L14" s="17">
        <f t="shared" si="2"/>
        <v>0</v>
      </c>
      <c r="N14" s="18">
        <v>0</v>
      </c>
      <c r="O14" s="24">
        <v>0</v>
      </c>
      <c r="P14" s="14">
        <f t="shared" si="3"/>
        <v>0</v>
      </c>
      <c r="Q14" s="4"/>
      <c r="R14" s="5"/>
    </row>
    <row r="15" spans="1:18" x14ac:dyDescent="0.25">
      <c r="A15" t="s">
        <v>11</v>
      </c>
      <c r="B15" s="13">
        <v>-27758</v>
      </c>
      <c r="C15" s="13">
        <v>-27758</v>
      </c>
      <c r="D15" s="14">
        <f t="shared" si="0"/>
        <v>0</v>
      </c>
      <c r="F15" s="15">
        <v>-27758</v>
      </c>
      <c r="G15" s="15">
        <v>-27758</v>
      </c>
      <c r="H15" s="14">
        <f t="shared" si="1"/>
        <v>0</v>
      </c>
      <c r="J15" s="16">
        <v>27758</v>
      </c>
      <c r="K15" s="16">
        <v>27758</v>
      </c>
      <c r="L15" s="17">
        <f t="shared" si="2"/>
        <v>0</v>
      </c>
      <c r="N15" s="18">
        <v>0</v>
      </c>
      <c r="O15" s="24">
        <v>0</v>
      </c>
      <c r="P15" s="14">
        <f t="shared" si="3"/>
        <v>0</v>
      </c>
      <c r="R15" s="5"/>
    </row>
    <row r="16" spans="1:18" s="22" customFormat="1" x14ac:dyDescent="0.25">
      <c r="A16" s="19"/>
      <c r="B16" s="19">
        <f t="shared" ref="B16:H16" si="4">SUM(B5:B15)</f>
        <v>46554</v>
      </c>
      <c r="C16" s="19">
        <f t="shared" si="4"/>
        <v>46554</v>
      </c>
      <c r="D16" s="19">
        <f t="shared" si="4"/>
        <v>0</v>
      </c>
      <c r="E16" s="20">
        <f t="shared" si="4"/>
        <v>0</v>
      </c>
      <c r="F16" s="21">
        <f t="shared" si="4"/>
        <v>48569</v>
      </c>
      <c r="G16" s="19">
        <f t="shared" si="4"/>
        <v>48569</v>
      </c>
      <c r="H16" s="19">
        <f t="shared" si="4"/>
        <v>0</v>
      </c>
      <c r="I16" s="20"/>
      <c r="J16" s="21">
        <f>SUM(J5:J15)</f>
        <v>31211</v>
      </c>
      <c r="K16" s="19">
        <f>SUM(K5:K15)</f>
        <v>31211</v>
      </c>
      <c r="L16" s="19">
        <f>SUM(L5:L15)</f>
        <v>0</v>
      </c>
      <c r="M16" s="20"/>
      <c r="N16" s="21">
        <f>SUM(N5:N15)</f>
        <v>79780</v>
      </c>
      <c r="O16" s="19">
        <f>SUM(O5:O15)</f>
        <v>79780</v>
      </c>
      <c r="P16" s="19">
        <f>SUM(P5:P15)</f>
        <v>0</v>
      </c>
      <c r="Q16" s="20"/>
      <c r="R16" s="18"/>
    </row>
    <row r="17" spans="6:10" x14ac:dyDescent="0.25">
      <c r="F17" s="1"/>
      <c r="J17" s="23"/>
    </row>
    <row r="18" spans="6:10" x14ac:dyDescent="0.25">
      <c r="J18" s="23"/>
    </row>
  </sheetData>
  <mergeCells count="4">
    <mergeCell ref="B3:E3"/>
    <mergeCell ref="F3:I3"/>
    <mergeCell ref="J3:M3"/>
    <mergeCell ref="N3:Q3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5" sqref="A15"/>
    </sheetView>
  </sheetViews>
  <sheetFormatPr defaultRowHeight="13.2" x14ac:dyDescent="0.25"/>
  <cols>
    <col min="1" max="1" width="26" customWidth="1"/>
    <col min="2" max="2" width="14.44140625" bestFit="1" customWidth="1"/>
    <col min="3" max="3" width="10.44140625" bestFit="1" customWidth="1"/>
    <col min="4" max="4" width="9.33203125" bestFit="1" customWidth="1"/>
    <col min="5" max="5" width="22.33203125" customWidth="1"/>
    <col min="6" max="6" width="10.33203125" bestFit="1" customWidth="1"/>
    <col min="7" max="7" width="10.44140625" bestFit="1" customWidth="1"/>
    <col min="8" max="8" width="9.33203125" bestFit="1" customWidth="1"/>
    <col min="9" max="9" width="19.44140625" customWidth="1"/>
    <col min="10" max="11" width="10.44140625" bestFit="1" customWidth="1"/>
    <col min="12" max="12" width="9.33203125" bestFit="1" customWidth="1"/>
    <col min="13" max="13" width="36.5546875" customWidth="1"/>
    <col min="14" max="15" width="10.44140625" bestFit="1" customWidth="1"/>
    <col min="16" max="16" width="9.33203125" bestFit="1" customWidth="1"/>
    <col min="17" max="17" width="47.33203125" customWidth="1"/>
  </cols>
  <sheetData>
    <row r="1" spans="1:18" x14ac:dyDescent="0.25">
      <c r="A1" s="3" t="s">
        <v>20</v>
      </c>
    </row>
    <row r="3" spans="1:18" x14ac:dyDescent="0.25">
      <c r="B3" s="236" t="s">
        <v>14</v>
      </c>
      <c r="C3" s="236"/>
      <c r="D3" s="236"/>
      <c r="E3" s="236"/>
      <c r="F3" s="236" t="s">
        <v>15</v>
      </c>
      <c r="G3" s="236"/>
      <c r="H3" s="236"/>
      <c r="I3" s="236"/>
      <c r="J3" s="236" t="s">
        <v>12</v>
      </c>
      <c r="K3" s="236"/>
      <c r="L3" s="236"/>
      <c r="M3" s="236"/>
      <c r="N3" s="236" t="s">
        <v>16</v>
      </c>
      <c r="O3" s="236"/>
      <c r="P3" s="236"/>
      <c r="Q3" s="236"/>
      <c r="R3" s="5"/>
    </row>
    <row r="4" spans="1:18" s="12" customFormat="1" ht="30.6" x14ac:dyDescent="0.2">
      <c r="A4" s="6" t="s">
        <v>7</v>
      </c>
      <c r="B4" s="7" t="s">
        <v>21</v>
      </c>
      <c r="C4" s="8" t="s">
        <v>19</v>
      </c>
      <c r="D4" s="8" t="s">
        <v>17</v>
      </c>
      <c r="E4" s="9" t="s">
        <v>18</v>
      </c>
      <c r="F4" s="7" t="s">
        <v>21</v>
      </c>
      <c r="G4" s="8" t="s">
        <v>19</v>
      </c>
      <c r="H4" s="8" t="s">
        <v>17</v>
      </c>
      <c r="I4" s="9" t="s">
        <v>18</v>
      </c>
      <c r="J4" s="7" t="s">
        <v>21</v>
      </c>
      <c r="K4" s="8" t="s">
        <v>19</v>
      </c>
      <c r="L4" s="8" t="s">
        <v>17</v>
      </c>
      <c r="M4" s="9" t="s">
        <v>18</v>
      </c>
      <c r="N4" s="7" t="s">
        <v>21</v>
      </c>
      <c r="O4" s="8" t="s">
        <v>19</v>
      </c>
      <c r="P4" s="8" t="s">
        <v>17</v>
      </c>
      <c r="Q4" s="10" t="s">
        <v>18</v>
      </c>
      <c r="R4" s="11"/>
    </row>
    <row r="5" spans="1:18" x14ac:dyDescent="0.25">
      <c r="A5" t="s">
        <v>0</v>
      </c>
      <c r="B5" s="13">
        <v>32836</v>
      </c>
      <c r="C5" s="13">
        <v>32600</v>
      </c>
      <c r="D5" s="14">
        <f>B5-C5</f>
        <v>236</v>
      </c>
      <c r="E5" s="4" t="s">
        <v>23</v>
      </c>
      <c r="F5" s="15">
        <v>32836</v>
      </c>
      <c r="G5" s="15">
        <v>32600</v>
      </c>
      <c r="H5" s="14">
        <f>F5-G5</f>
        <v>236</v>
      </c>
      <c r="I5" s="25" t="s">
        <v>23</v>
      </c>
      <c r="J5" s="16">
        <v>980</v>
      </c>
      <c r="K5" s="16">
        <v>980</v>
      </c>
      <c r="L5" s="17">
        <f>J5-K5</f>
        <v>0</v>
      </c>
      <c r="M5" s="4"/>
      <c r="N5" s="18">
        <v>33816</v>
      </c>
      <c r="O5" s="24">
        <v>33580</v>
      </c>
      <c r="P5" s="14">
        <f>N5-O5</f>
        <v>236</v>
      </c>
      <c r="Q5" s="4" t="s">
        <v>23</v>
      </c>
      <c r="R5" s="5"/>
    </row>
    <row r="6" spans="1:18" x14ac:dyDescent="0.25">
      <c r="A6" t="s">
        <v>1</v>
      </c>
      <c r="B6" s="13">
        <v>1360</v>
      </c>
      <c r="C6" s="13">
        <v>1425</v>
      </c>
      <c r="D6" s="14">
        <f t="shared" ref="D6:D15" si="0">B6-C6</f>
        <v>-65</v>
      </c>
      <c r="E6" s="4" t="s">
        <v>23</v>
      </c>
      <c r="F6" s="15">
        <v>1360</v>
      </c>
      <c r="G6" s="15">
        <v>1425</v>
      </c>
      <c r="H6" s="14">
        <f t="shared" ref="H6:H15" si="1">F6-G6</f>
        <v>-65</v>
      </c>
      <c r="I6" s="25" t="s">
        <v>23</v>
      </c>
      <c r="J6" s="16">
        <v>1478</v>
      </c>
      <c r="K6" s="16">
        <v>1478</v>
      </c>
      <c r="L6" s="17">
        <f t="shared" ref="L6:L15" si="2">J6-K6</f>
        <v>0</v>
      </c>
      <c r="M6" s="4"/>
      <c r="N6" s="18">
        <v>2838</v>
      </c>
      <c r="O6" s="24">
        <v>2903</v>
      </c>
      <c r="P6" s="14">
        <f t="shared" ref="P6:P15" si="3">N6-O6</f>
        <v>-65</v>
      </c>
      <c r="Q6" s="4" t="s">
        <v>23</v>
      </c>
      <c r="R6" s="5"/>
    </row>
    <row r="7" spans="1:18" x14ac:dyDescent="0.25">
      <c r="A7" t="s">
        <v>2</v>
      </c>
      <c r="B7" s="13">
        <v>2986</v>
      </c>
      <c r="C7" s="13">
        <v>2321</v>
      </c>
      <c r="D7" s="14">
        <f t="shared" si="0"/>
        <v>665</v>
      </c>
      <c r="E7" s="4" t="s">
        <v>23</v>
      </c>
      <c r="F7" s="15">
        <v>2986</v>
      </c>
      <c r="G7" s="15">
        <v>2321</v>
      </c>
      <c r="H7" s="14">
        <f t="shared" si="1"/>
        <v>665</v>
      </c>
      <c r="I7" s="25" t="s">
        <v>23</v>
      </c>
      <c r="J7" s="16">
        <v>0</v>
      </c>
      <c r="K7" s="16">
        <v>0</v>
      </c>
      <c r="L7" s="17">
        <f t="shared" si="2"/>
        <v>0</v>
      </c>
      <c r="N7" s="18">
        <v>2986</v>
      </c>
      <c r="O7" s="24">
        <v>2321</v>
      </c>
      <c r="P7" s="14">
        <f t="shared" si="3"/>
        <v>665</v>
      </c>
      <c r="Q7" s="4" t="s">
        <v>23</v>
      </c>
      <c r="R7" s="5"/>
    </row>
    <row r="8" spans="1:18" x14ac:dyDescent="0.25">
      <c r="A8" t="s">
        <v>3</v>
      </c>
      <c r="B8" s="13">
        <v>16454</v>
      </c>
      <c r="C8" s="13">
        <v>15344</v>
      </c>
      <c r="D8" s="14">
        <f t="shared" si="0"/>
        <v>1110</v>
      </c>
      <c r="E8" s="4" t="s">
        <v>23</v>
      </c>
      <c r="F8" s="15">
        <v>17629</v>
      </c>
      <c r="G8" s="15">
        <v>16519</v>
      </c>
      <c r="H8" s="14">
        <f t="shared" si="1"/>
        <v>1110</v>
      </c>
      <c r="I8" s="25" t="s">
        <v>23</v>
      </c>
      <c r="J8" s="16">
        <v>984</v>
      </c>
      <c r="K8" s="16">
        <v>984</v>
      </c>
      <c r="L8" s="17">
        <f t="shared" si="2"/>
        <v>0</v>
      </c>
      <c r="M8" s="4"/>
      <c r="N8" s="18">
        <v>18613</v>
      </c>
      <c r="O8" s="24">
        <v>17503</v>
      </c>
      <c r="P8" s="14">
        <f t="shared" si="3"/>
        <v>1110</v>
      </c>
      <c r="Q8" s="4" t="s">
        <v>23</v>
      </c>
      <c r="R8" s="5"/>
    </row>
    <row r="9" spans="1:18" x14ac:dyDescent="0.25">
      <c r="A9" t="s">
        <v>22</v>
      </c>
      <c r="B9" s="13">
        <v>7490</v>
      </c>
      <c r="C9" s="13">
        <v>7639</v>
      </c>
      <c r="D9" s="14">
        <f t="shared" si="0"/>
        <v>-149</v>
      </c>
      <c r="E9" s="4" t="s">
        <v>23</v>
      </c>
      <c r="F9" s="15">
        <v>7490</v>
      </c>
      <c r="G9" s="15">
        <v>7639</v>
      </c>
      <c r="H9" s="14">
        <f t="shared" si="1"/>
        <v>-149</v>
      </c>
      <c r="I9" s="25" t="s">
        <v>23</v>
      </c>
      <c r="J9" s="16">
        <v>0</v>
      </c>
      <c r="K9" s="16">
        <v>0</v>
      </c>
      <c r="L9" s="17">
        <f t="shared" si="2"/>
        <v>0</v>
      </c>
      <c r="N9" s="18">
        <v>7490</v>
      </c>
      <c r="O9" s="24">
        <v>7639</v>
      </c>
      <c r="P9" s="14">
        <f t="shared" si="3"/>
        <v>-149</v>
      </c>
      <c r="Q9" s="4" t="s">
        <v>23</v>
      </c>
      <c r="R9" s="5"/>
    </row>
    <row r="10" spans="1:18" x14ac:dyDescent="0.25">
      <c r="A10" t="s">
        <v>13</v>
      </c>
      <c r="B10" s="13">
        <v>2851</v>
      </c>
      <c r="C10" s="13">
        <v>2491</v>
      </c>
      <c r="D10" s="14">
        <f t="shared" si="0"/>
        <v>360</v>
      </c>
      <c r="E10" s="4" t="s">
        <v>23</v>
      </c>
      <c r="F10" s="15">
        <v>2851</v>
      </c>
      <c r="G10" s="15">
        <v>2491</v>
      </c>
      <c r="H10" s="14">
        <f t="shared" si="1"/>
        <v>360</v>
      </c>
      <c r="I10" s="25" t="s">
        <v>23</v>
      </c>
      <c r="J10" s="16">
        <v>0</v>
      </c>
      <c r="K10" s="16">
        <v>0</v>
      </c>
      <c r="L10" s="17">
        <f t="shared" si="2"/>
        <v>0</v>
      </c>
      <c r="N10" s="18">
        <v>2851</v>
      </c>
      <c r="O10" s="24">
        <v>2491</v>
      </c>
      <c r="P10" s="14">
        <f t="shared" si="3"/>
        <v>360</v>
      </c>
      <c r="Q10" s="4" t="s">
        <v>23</v>
      </c>
      <c r="R10" s="5"/>
    </row>
    <row r="11" spans="1:18" ht="26.4" x14ac:dyDescent="0.25">
      <c r="A11" t="s">
        <v>8</v>
      </c>
      <c r="B11" s="13">
        <v>10230</v>
      </c>
      <c r="C11" s="13">
        <v>8324</v>
      </c>
      <c r="D11" s="14">
        <f t="shared" si="0"/>
        <v>1906</v>
      </c>
      <c r="E11" s="4" t="s">
        <v>23</v>
      </c>
      <c r="F11" s="15">
        <v>10320</v>
      </c>
      <c r="G11" s="15">
        <v>8414</v>
      </c>
      <c r="H11" s="14">
        <f t="shared" si="1"/>
        <v>1906</v>
      </c>
      <c r="I11" s="25" t="s">
        <v>23</v>
      </c>
      <c r="J11" s="16">
        <v>11</v>
      </c>
      <c r="K11" s="16">
        <v>0</v>
      </c>
      <c r="L11" s="17">
        <f t="shared" si="2"/>
        <v>11</v>
      </c>
      <c r="M11" s="4" t="s">
        <v>24</v>
      </c>
      <c r="N11" s="18">
        <v>10331</v>
      </c>
      <c r="O11" s="24">
        <v>8414</v>
      </c>
      <c r="P11" s="14">
        <f t="shared" si="3"/>
        <v>1917</v>
      </c>
      <c r="Q11" s="4" t="s">
        <v>25</v>
      </c>
      <c r="R11" s="5"/>
    </row>
    <row r="12" spans="1:18" x14ac:dyDescent="0.25">
      <c r="A12" t="s">
        <v>4</v>
      </c>
      <c r="B12" s="13">
        <v>855</v>
      </c>
      <c r="C12" s="13">
        <v>858</v>
      </c>
      <c r="D12" s="14">
        <f t="shared" si="0"/>
        <v>-3</v>
      </c>
      <c r="E12" s="4" t="s">
        <v>23</v>
      </c>
      <c r="F12" s="15">
        <v>855</v>
      </c>
      <c r="G12" s="15">
        <v>858</v>
      </c>
      <c r="H12" s="14">
        <f t="shared" si="1"/>
        <v>-3</v>
      </c>
      <c r="I12" s="25" t="s">
        <v>23</v>
      </c>
      <c r="J12" s="16">
        <v>0</v>
      </c>
      <c r="K12" s="16">
        <v>0</v>
      </c>
      <c r="L12" s="17">
        <f t="shared" si="2"/>
        <v>0</v>
      </c>
      <c r="N12" s="18">
        <v>855</v>
      </c>
      <c r="O12" s="24">
        <v>858</v>
      </c>
      <c r="P12" s="14">
        <f t="shared" si="3"/>
        <v>-3</v>
      </c>
      <c r="Q12" s="4" t="s">
        <v>23</v>
      </c>
      <c r="R12" s="5"/>
    </row>
    <row r="13" spans="1:18" x14ac:dyDescent="0.25">
      <c r="A13" t="s">
        <v>9</v>
      </c>
      <c r="B13" s="13">
        <v>-750</v>
      </c>
      <c r="C13" s="13">
        <v>-750</v>
      </c>
      <c r="D13" s="14">
        <f t="shared" si="0"/>
        <v>0</v>
      </c>
      <c r="F13" s="15">
        <v>0</v>
      </c>
      <c r="G13" s="15">
        <v>0</v>
      </c>
      <c r="H13" s="14">
        <f t="shared" si="1"/>
        <v>0</v>
      </c>
      <c r="I13" s="25"/>
      <c r="J13" s="16">
        <v>0</v>
      </c>
      <c r="K13" s="16">
        <v>0</v>
      </c>
      <c r="L13" s="17">
        <f t="shared" si="2"/>
        <v>0</v>
      </c>
      <c r="N13" s="18">
        <v>0</v>
      </c>
      <c r="O13" s="24">
        <v>0</v>
      </c>
      <c r="P13" s="14">
        <f t="shared" si="3"/>
        <v>0</v>
      </c>
      <c r="R13" s="5"/>
    </row>
    <row r="14" spans="1:18" x14ac:dyDescent="0.25">
      <c r="A14" t="s">
        <v>10</v>
      </c>
      <c r="B14" s="13">
        <v>0</v>
      </c>
      <c r="C14" s="13">
        <v>983</v>
      </c>
      <c r="D14" s="14">
        <f t="shared" si="0"/>
        <v>-983</v>
      </c>
      <c r="E14" s="4" t="s">
        <v>23</v>
      </c>
      <c r="F14" s="15">
        <v>0</v>
      </c>
      <c r="G14" s="15">
        <v>983</v>
      </c>
      <c r="H14" s="14">
        <f t="shared" si="1"/>
        <v>-983</v>
      </c>
      <c r="I14" s="25" t="s">
        <v>23</v>
      </c>
      <c r="J14" s="16">
        <v>0</v>
      </c>
      <c r="K14" s="16">
        <v>0</v>
      </c>
      <c r="L14" s="17">
        <f t="shared" si="2"/>
        <v>0</v>
      </c>
      <c r="N14" s="18">
        <v>0</v>
      </c>
      <c r="O14" s="24">
        <v>983</v>
      </c>
      <c r="P14" s="14">
        <f t="shared" si="3"/>
        <v>-983</v>
      </c>
      <c r="Q14" s="4" t="s">
        <v>23</v>
      </c>
      <c r="R14" s="5"/>
    </row>
    <row r="15" spans="1:18" x14ac:dyDescent="0.25">
      <c r="A15" t="s">
        <v>11</v>
      </c>
      <c r="B15" s="13">
        <v>-27758</v>
      </c>
      <c r="C15" s="13">
        <v>-27758</v>
      </c>
      <c r="D15" s="14">
        <f t="shared" si="0"/>
        <v>0</v>
      </c>
      <c r="F15" s="15">
        <v>-27758</v>
      </c>
      <c r="G15" s="15">
        <v>-27758</v>
      </c>
      <c r="H15" s="14">
        <f t="shared" si="1"/>
        <v>0</v>
      </c>
      <c r="J15" s="16">
        <v>27758</v>
      </c>
      <c r="K15" s="16">
        <v>27758</v>
      </c>
      <c r="L15" s="17">
        <f t="shared" si="2"/>
        <v>0</v>
      </c>
      <c r="N15" s="18">
        <v>0</v>
      </c>
      <c r="O15" s="24">
        <v>0</v>
      </c>
      <c r="P15" s="14">
        <f t="shared" si="3"/>
        <v>0</v>
      </c>
      <c r="R15" s="5"/>
    </row>
    <row r="16" spans="1:18" s="22" customFormat="1" x14ac:dyDescent="0.25">
      <c r="A16" s="19"/>
      <c r="B16" s="19">
        <f t="shared" ref="B16:H16" si="4">SUM(B5:B15)</f>
        <v>46554</v>
      </c>
      <c r="C16" s="19">
        <f t="shared" si="4"/>
        <v>43477</v>
      </c>
      <c r="D16" s="19">
        <f t="shared" si="4"/>
        <v>3077</v>
      </c>
      <c r="E16" s="20">
        <f t="shared" si="4"/>
        <v>0</v>
      </c>
      <c r="F16" s="21">
        <f t="shared" si="4"/>
        <v>48569</v>
      </c>
      <c r="G16" s="19">
        <f t="shared" si="4"/>
        <v>45492</v>
      </c>
      <c r="H16" s="19">
        <f t="shared" si="4"/>
        <v>3077</v>
      </c>
      <c r="I16" s="20"/>
      <c r="J16" s="21">
        <f>SUM(J5:J15)</f>
        <v>31211</v>
      </c>
      <c r="K16" s="19">
        <f>SUM(K5:K15)</f>
        <v>31200</v>
      </c>
      <c r="L16" s="19">
        <f>SUM(L5:L15)</f>
        <v>11</v>
      </c>
      <c r="M16" s="20"/>
      <c r="N16" s="21">
        <f>SUM(N5:N15)</f>
        <v>79780</v>
      </c>
      <c r="O16" s="19">
        <f>SUM(O5:O15)</f>
        <v>76692</v>
      </c>
      <c r="P16" s="19">
        <f>SUM(P5:P15)</f>
        <v>3088</v>
      </c>
      <c r="Q16" s="20"/>
      <c r="R16" s="18"/>
    </row>
    <row r="17" spans="6:10" x14ac:dyDescent="0.25">
      <c r="F17" s="1"/>
      <c r="J17" s="23"/>
    </row>
    <row r="18" spans="6:10" x14ac:dyDescent="0.25">
      <c r="J18" s="23"/>
    </row>
  </sheetData>
  <mergeCells count="4">
    <mergeCell ref="B3:E3"/>
    <mergeCell ref="F3:I3"/>
    <mergeCell ref="J3:M3"/>
    <mergeCell ref="N3:Q3"/>
  </mergeCells>
  <phoneticPr fontId="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L19" zoomScaleNormal="100" workbookViewId="0">
      <selection activeCell="O38" sqref="O38"/>
    </sheetView>
  </sheetViews>
  <sheetFormatPr defaultColWidth="9.33203125" defaultRowHeight="13.2" x14ac:dyDescent="0.25"/>
  <cols>
    <col min="1" max="1" width="4.6640625" style="187" customWidth="1"/>
    <col min="2" max="2" width="25.6640625" style="187" customWidth="1"/>
    <col min="3" max="20" width="10.33203125" style="186" customWidth="1"/>
    <col min="21" max="23" width="10.33203125" style="187" customWidth="1"/>
    <col min="24" max="16384" width="9.33203125" style="187"/>
  </cols>
  <sheetData>
    <row r="1" spans="1:21" ht="15.6" x14ac:dyDescent="0.3">
      <c r="A1" s="185" t="s">
        <v>245</v>
      </c>
      <c r="B1" s="186"/>
      <c r="M1" s="187"/>
      <c r="N1" s="187"/>
      <c r="O1" s="187"/>
      <c r="P1" s="187"/>
      <c r="S1" s="187"/>
      <c r="T1" s="188"/>
    </row>
    <row r="2" spans="1:21" ht="15.6" x14ac:dyDescent="0.3">
      <c r="A2" s="185" t="s">
        <v>246</v>
      </c>
      <c r="B2" s="186"/>
      <c r="M2" s="187"/>
      <c r="N2" s="187"/>
      <c r="O2" s="187"/>
      <c r="P2" s="187"/>
      <c r="Q2" s="187"/>
      <c r="R2" s="187"/>
      <c r="S2" s="187"/>
      <c r="T2" s="187"/>
    </row>
    <row r="3" spans="1:21" ht="15.6" x14ac:dyDescent="0.3">
      <c r="A3" s="185"/>
      <c r="B3" s="186"/>
      <c r="M3" s="187"/>
      <c r="N3" s="187"/>
      <c r="O3" s="187"/>
      <c r="P3" s="187"/>
      <c r="Q3" s="187"/>
      <c r="R3" s="187"/>
      <c r="S3" s="187"/>
      <c r="T3" s="187"/>
    </row>
    <row r="4" spans="1:21" ht="15.6" x14ac:dyDescent="0.3">
      <c r="A4" s="185"/>
      <c r="B4" s="186"/>
      <c r="M4" s="187"/>
      <c r="N4" s="187"/>
      <c r="O4" s="187"/>
      <c r="P4" s="187"/>
      <c r="Q4" s="187"/>
      <c r="R4" s="187"/>
      <c r="S4" s="187"/>
      <c r="T4" s="187"/>
    </row>
    <row r="5" spans="1:21" ht="13.8" thickBot="1" x14ac:dyDescent="0.3">
      <c r="A5" s="189"/>
      <c r="B5" s="186"/>
      <c r="M5" s="187"/>
      <c r="N5" s="187"/>
      <c r="O5" s="187"/>
      <c r="P5" s="187"/>
      <c r="Q5" s="187"/>
      <c r="R5" s="187"/>
      <c r="S5" s="187"/>
      <c r="T5" s="187"/>
    </row>
    <row r="6" spans="1:21" s="192" customFormat="1" ht="15" customHeight="1" x14ac:dyDescent="0.25">
      <c r="A6" s="190"/>
      <c r="B6" s="191"/>
      <c r="C6" s="240" t="s">
        <v>247</v>
      </c>
      <c r="D6" s="241"/>
      <c r="E6" s="242"/>
      <c r="F6" s="240" t="s">
        <v>248</v>
      </c>
      <c r="G6" s="241"/>
      <c r="H6" s="242"/>
      <c r="I6" s="240" t="s">
        <v>249</v>
      </c>
      <c r="J6" s="241"/>
      <c r="K6" s="242"/>
      <c r="L6" s="240" t="s">
        <v>250</v>
      </c>
      <c r="M6" s="241"/>
      <c r="N6" s="242"/>
      <c r="O6" s="240" t="s">
        <v>251</v>
      </c>
      <c r="P6" s="241"/>
      <c r="Q6" s="242"/>
    </row>
    <row r="7" spans="1:21" s="196" customFormat="1" ht="60" customHeight="1" x14ac:dyDescent="0.25">
      <c r="A7" s="238" t="s">
        <v>7</v>
      </c>
      <c r="B7" s="239"/>
      <c r="C7" s="193" t="s">
        <v>59</v>
      </c>
      <c r="D7" s="194" t="s">
        <v>252</v>
      </c>
      <c r="E7" s="195" t="s">
        <v>253</v>
      </c>
      <c r="F7" s="193" t="s">
        <v>254</v>
      </c>
      <c r="G7" s="194" t="s">
        <v>255</v>
      </c>
      <c r="H7" s="195" t="s">
        <v>256</v>
      </c>
      <c r="I7" s="193" t="s">
        <v>257</v>
      </c>
      <c r="J7" s="194" t="s">
        <v>258</v>
      </c>
      <c r="K7" s="195" t="s">
        <v>259</v>
      </c>
      <c r="L7" s="193" t="s">
        <v>260</v>
      </c>
      <c r="M7" s="194" t="s">
        <v>261</v>
      </c>
      <c r="N7" s="195" t="s">
        <v>262</v>
      </c>
      <c r="O7" s="193" t="s">
        <v>263</v>
      </c>
      <c r="P7" s="194" t="s">
        <v>264</v>
      </c>
      <c r="Q7" s="195" t="s">
        <v>265</v>
      </c>
    </row>
    <row r="8" spans="1:21" s="196" customFormat="1" x14ac:dyDescent="0.25">
      <c r="A8" s="197"/>
      <c r="B8" s="198"/>
      <c r="C8" s="199" t="s">
        <v>58</v>
      </c>
      <c r="D8" s="200" t="s">
        <v>58</v>
      </c>
      <c r="E8" s="201" t="s">
        <v>58</v>
      </c>
      <c r="F8" s="199" t="s">
        <v>58</v>
      </c>
      <c r="G8" s="200" t="s">
        <v>58</v>
      </c>
      <c r="H8" s="201" t="s">
        <v>58</v>
      </c>
      <c r="I8" s="199" t="s">
        <v>58</v>
      </c>
      <c r="J8" s="200" t="s">
        <v>58</v>
      </c>
      <c r="K8" s="201" t="s">
        <v>58</v>
      </c>
      <c r="L8" s="199" t="s">
        <v>58</v>
      </c>
      <c r="M8" s="200" t="s">
        <v>58</v>
      </c>
      <c r="N8" s="201" t="s">
        <v>58</v>
      </c>
      <c r="O8" s="199" t="s">
        <v>58</v>
      </c>
      <c r="P8" s="200" t="s">
        <v>58</v>
      </c>
      <c r="Q8" s="201" t="s">
        <v>58</v>
      </c>
    </row>
    <row r="9" spans="1:21" s="207" customFormat="1" x14ac:dyDescent="0.25">
      <c r="A9" s="202" t="s">
        <v>266</v>
      </c>
      <c r="B9" s="203"/>
      <c r="C9" s="204">
        <v>67658</v>
      </c>
      <c r="D9" s="205">
        <v>-623</v>
      </c>
      <c r="E9" s="206">
        <f>C9+D9</f>
        <v>67035</v>
      </c>
      <c r="F9" s="204">
        <v>45055</v>
      </c>
      <c r="G9" s="205">
        <v>-400</v>
      </c>
      <c r="H9" s="206">
        <f>F9+G9</f>
        <v>44655</v>
      </c>
      <c r="I9" s="204">
        <v>58085</v>
      </c>
      <c r="J9" s="205">
        <v>-3950</v>
      </c>
      <c r="K9" s="206">
        <f>I9+J9</f>
        <v>54135</v>
      </c>
      <c r="L9" s="204">
        <v>45205</v>
      </c>
      <c r="M9" s="205">
        <v>-1650</v>
      </c>
      <c r="N9" s="206">
        <f>L9+M9</f>
        <v>43555</v>
      </c>
      <c r="O9" s="204">
        <v>38505</v>
      </c>
      <c r="P9" s="205">
        <v>-450</v>
      </c>
      <c r="Q9" s="206">
        <f>O9+P9</f>
        <v>38055</v>
      </c>
    </row>
    <row r="10" spans="1:21" s="208" customFormat="1" ht="15" customHeight="1" x14ac:dyDescent="0.25">
      <c r="A10" s="202" t="s">
        <v>267</v>
      </c>
      <c r="B10" s="203"/>
      <c r="C10" s="204">
        <v>604</v>
      </c>
      <c r="D10" s="205">
        <v>0</v>
      </c>
      <c r="E10" s="206">
        <f>C10+D10</f>
        <v>604</v>
      </c>
      <c r="F10" s="204">
        <v>0</v>
      </c>
      <c r="G10" s="205">
        <v>0</v>
      </c>
      <c r="H10" s="206">
        <f>F10+G10</f>
        <v>0</v>
      </c>
      <c r="I10" s="204">
        <v>0</v>
      </c>
      <c r="J10" s="205">
        <v>0</v>
      </c>
      <c r="K10" s="206">
        <f>I10+J10</f>
        <v>0</v>
      </c>
      <c r="L10" s="204">
        <v>0</v>
      </c>
      <c r="M10" s="205">
        <v>0</v>
      </c>
      <c r="N10" s="206">
        <f>L10+M10</f>
        <v>0</v>
      </c>
      <c r="O10" s="204">
        <v>0</v>
      </c>
      <c r="P10" s="205">
        <v>0</v>
      </c>
      <c r="Q10" s="206">
        <f>O10+P10</f>
        <v>0</v>
      </c>
      <c r="S10" s="209"/>
      <c r="T10" s="209"/>
      <c r="U10" s="209"/>
    </row>
    <row r="11" spans="1:21" s="208" customFormat="1" ht="15" customHeight="1" x14ac:dyDescent="0.25">
      <c r="A11" s="202" t="s">
        <v>268</v>
      </c>
      <c r="B11" s="203"/>
      <c r="C11" s="204">
        <v>6529</v>
      </c>
      <c r="D11" s="205">
        <v>0</v>
      </c>
      <c r="E11" s="206">
        <f t="shared" ref="E11:H17" si="0">C11+D11</f>
        <v>6529</v>
      </c>
      <c r="F11" s="204">
        <v>9800</v>
      </c>
      <c r="G11" s="205">
        <v>0</v>
      </c>
      <c r="H11" s="206">
        <f t="shared" ref="H11:H15" si="1">F11+G11</f>
        <v>9800</v>
      </c>
      <c r="I11" s="204">
        <v>6800</v>
      </c>
      <c r="J11" s="205">
        <v>0</v>
      </c>
      <c r="K11" s="206">
        <f t="shared" ref="K11:K17" si="2">I11+J11</f>
        <v>6800</v>
      </c>
      <c r="L11" s="204">
        <v>0</v>
      </c>
      <c r="M11" s="205">
        <v>0</v>
      </c>
      <c r="N11" s="206">
        <f t="shared" ref="N11:N15" si="3">L11+M11</f>
        <v>0</v>
      </c>
      <c r="O11" s="204">
        <v>0</v>
      </c>
      <c r="P11" s="205">
        <v>0</v>
      </c>
      <c r="Q11" s="206">
        <f t="shared" ref="Q11:Q17" si="4">O11+P11</f>
        <v>0</v>
      </c>
      <c r="S11" s="209"/>
      <c r="T11" s="209"/>
      <c r="U11" s="209"/>
    </row>
    <row r="12" spans="1:21" s="208" customFormat="1" ht="15" customHeight="1" x14ac:dyDescent="0.25">
      <c r="A12" s="202" t="s">
        <v>269</v>
      </c>
      <c r="B12" s="203"/>
      <c r="C12" s="204">
        <v>15534</v>
      </c>
      <c r="D12" s="205">
        <v>-303</v>
      </c>
      <c r="E12" s="206">
        <f t="shared" si="0"/>
        <v>15231</v>
      </c>
      <c r="F12" s="204">
        <v>16265</v>
      </c>
      <c r="G12" s="205">
        <v>-550</v>
      </c>
      <c r="H12" s="206">
        <f t="shared" si="1"/>
        <v>15715</v>
      </c>
      <c r="I12" s="204">
        <v>15865</v>
      </c>
      <c r="J12" s="205">
        <v>-350</v>
      </c>
      <c r="K12" s="206">
        <f t="shared" si="2"/>
        <v>15515</v>
      </c>
      <c r="L12" s="204">
        <v>15565</v>
      </c>
      <c r="M12" s="205">
        <v>-350</v>
      </c>
      <c r="N12" s="206">
        <f t="shared" si="3"/>
        <v>15215</v>
      </c>
      <c r="O12" s="204">
        <v>15465</v>
      </c>
      <c r="P12" s="205">
        <v>-350</v>
      </c>
      <c r="Q12" s="206">
        <f t="shared" si="4"/>
        <v>15115</v>
      </c>
      <c r="S12" s="209"/>
      <c r="T12" s="209"/>
      <c r="U12" s="209"/>
    </row>
    <row r="13" spans="1:21" s="208" customFormat="1" ht="15" customHeight="1" x14ac:dyDescent="0.25">
      <c r="A13" s="202" t="s">
        <v>270</v>
      </c>
      <c r="B13" s="203"/>
      <c r="C13" s="204">
        <v>44676</v>
      </c>
      <c r="D13" s="205">
        <v>-3610</v>
      </c>
      <c r="E13" s="206">
        <f t="shared" si="0"/>
        <v>41066</v>
      </c>
      <c r="F13" s="204">
        <v>42237</v>
      </c>
      <c r="G13" s="205">
        <v>-1491</v>
      </c>
      <c r="H13" s="206">
        <f t="shared" si="1"/>
        <v>40746</v>
      </c>
      <c r="I13" s="204">
        <v>47109</v>
      </c>
      <c r="J13" s="205">
        <v>-1325</v>
      </c>
      <c r="K13" s="206">
        <f t="shared" si="2"/>
        <v>45784</v>
      </c>
      <c r="L13" s="204">
        <v>36498</v>
      </c>
      <c r="M13" s="205">
        <v>-350</v>
      </c>
      <c r="N13" s="206">
        <f t="shared" si="3"/>
        <v>36148</v>
      </c>
      <c r="O13" s="204">
        <v>49394</v>
      </c>
      <c r="P13" s="205">
        <v>-353</v>
      </c>
      <c r="Q13" s="206">
        <f t="shared" si="4"/>
        <v>49041</v>
      </c>
      <c r="S13" s="209"/>
      <c r="T13" s="209"/>
      <c r="U13" s="209"/>
    </row>
    <row r="14" spans="1:21" s="208" customFormat="1" ht="15" customHeight="1" x14ac:dyDescent="0.25">
      <c r="A14" s="202" t="s">
        <v>271</v>
      </c>
      <c r="B14" s="203"/>
      <c r="C14" s="204">
        <v>850</v>
      </c>
      <c r="D14" s="205">
        <v>0</v>
      </c>
      <c r="E14" s="206">
        <f t="shared" si="0"/>
        <v>850</v>
      </c>
      <c r="F14" s="204">
        <v>500</v>
      </c>
      <c r="G14" s="205">
        <v>0</v>
      </c>
      <c r="H14" s="206">
        <f t="shared" si="1"/>
        <v>500</v>
      </c>
      <c r="I14" s="204">
        <v>500</v>
      </c>
      <c r="J14" s="205">
        <v>0</v>
      </c>
      <c r="K14" s="206">
        <f t="shared" si="2"/>
        <v>500</v>
      </c>
      <c r="L14" s="204">
        <v>500</v>
      </c>
      <c r="M14" s="205">
        <v>0</v>
      </c>
      <c r="N14" s="206">
        <f t="shared" si="3"/>
        <v>500</v>
      </c>
      <c r="O14" s="204">
        <v>500</v>
      </c>
      <c r="P14" s="205">
        <v>0</v>
      </c>
      <c r="Q14" s="206">
        <f t="shared" si="4"/>
        <v>500</v>
      </c>
      <c r="S14" s="209"/>
      <c r="T14" s="209"/>
      <c r="U14" s="209"/>
    </row>
    <row r="15" spans="1:21" s="208" customFormat="1" ht="15" customHeight="1" thickBot="1" x14ac:dyDescent="0.3">
      <c r="A15" s="202" t="s">
        <v>272</v>
      </c>
      <c r="B15" s="203"/>
      <c r="C15" s="204">
        <v>2169</v>
      </c>
      <c r="D15" s="205">
        <v>0</v>
      </c>
      <c r="E15" s="206">
        <f t="shared" si="0"/>
        <v>2169</v>
      </c>
      <c r="F15" s="204">
        <v>250</v>
      </c>
      <c r="G15" s="205">
        <v>0</v>
      </c>
      <c r="H15" s="206">
        <f t="shared" si="1"/>
        <v>250</v>
      </c>
      <c r="I15" s="204">
        <v>500</v>
      </c>
      <c r="J15" s="205">
        <v>0</v>
      </c>
      <c r="K15" s="206">
        <f t="shared" si="2"/>
        <v>500</v>
      </c>
      <c r="L15" s="204">
        <v>250</v>
      </c>
      <c r="M15" s="205">
        <v>0</v>
      </c>
      <c r="N15" s="206">
        <f t="shared" si="3"/>
        <v>250</v>
      </c>
      <c r="O15" s="204">
        <v>500</v>
      </c>
      <c r="P15" s="205">
        <v>0</v>
      </c>
      <c r="Q15" s="206">
        <f t="shared" si="4"/>
        <v>500</v>
      </c>
      <c r="S15" s="209"/>
      <c r="T15" s="209"/>
      <c r="U15" s="209"/>
    </row>
    <row r="16" spans="1:21" s="215" customFormat="1" ht="15" customHeight="1" thickBot="1" x14ac:dyDescent="0.3">
      <c r="A16" s="210" t="s">
        <v>273</v>
      </c>
      <c r="B16" s="211"/>
      <c r="C16" s="212">
        <f t="shared" ref="C16:K16" si="5">SUM(C9:C15)</f>
        <v>138020</v>
      </c>
      <c r="D16" s="213">
        <f t="shared" si="5"/>
        <v>-4536</v>
      </c>
      <c r="E16" s="214">
        <f t="shared" si="5"/>
        <v>133484</v>
      </c>
      <c r="F16" s="212">
        <f t="shared" si="5"/>
        <v>114107</v>
      </c>
      <c r="G16" s="213">
        <f t="shared" si="5"/>
        <v>-2441</v>
      </c>
      <c r="H16" s="214">
        <f t="shared" si="5"/>
        <v>111666</v>
      </c>
      <c r="I16" s="212">
        <f t="shared" si="5"/>
        <v>128859</v>
      </c>
      <c r="J16" s="213">
        <f t="shared" si="5"/>
        <v>-5625</v>
      </c>
      <c r="K16" s="214">
        <f t="shared" si="5"/>
        <v>123234</v>
      </c>
      <c r="L16" s="212">
        <f t="shared" ref="L16:N16" si="6">SUM(L9:L15)</f>
        <v>98018</v>
      </c>
      <c r="M16" s="213">
        <f t="shared" si="6"/>
        <v>-2350</v>
      </c>
      <c r="N16" s="214">
        <f t="shared" si="6"/>
        <v>95668</v>
      </c>
      <c r="O16" s="212">
        <f>SUM(O9:O15)</f>
        <v>104364</v>
      </c>
      <c r="P16" s="213">
        <f>SUM(P9:P15)</f>
        <v>-1153</v>
      </c>
      <c r="Q16" s="214">
        <f>SUM(Q9:Q15)</f>
        <v>103211</v>
      </c>
      <c r="S16" s="209"/>
      <c r="T16" s="209"/>
      <c r="U16" s="209"/>
    </row>
    <row r="17" spans="1:24" s="221" customFormat="1" ht="15" customHeight="1" thickBot="1" x14ac:dyDescent="0.3">
      <c r="A17" s="216" t="s">
        <v>274</v>
      </c>
      <c r="B17" s="217"/>
      <c r="C17" s="218"/>
      <c r="D17" s="219"/>
      <c r="E17" s="220">
        <f t="shared" si="0"/>
        <v>0</v>
      </c>
      <c r="F17" s="218">
        <v>-20000</v>
      </c>
      <c r="G17" s="219"/>
      <c r="H17" s="220">
        <f t="shared" si="0"/>
        <v>-20000</v>
      </c>
      <c r="I17" s="218">
        <v>-25000</v>
      </c>
      <c r="J17" s="219"/>
      <c r="K17" s="220">
        <f t="shared" si="2"/>
        <v>-25000</v>
      </c>
      <c r="L17" s="218">
        <v>-5000</v>
      </c>
      <c r="M17" s="219"/>
      <c r="N17" s="220">
        <f t="shared" ref="N17" si="7">L17+M17</f>
        <v>-5000</v>
      </c>
      <c r="O17" s="218">
        <v>-4000</v>
      </c>
      <c r="P17" s="219"/>
      <c r="Q17" s="220">
        <f t="shared" si="4"/>
        <v>-4000</v>
      </c>
      <c r="S17" s="209"/>
      <c r="T17" s="209"/>
      <c r="U17" s="209"/>
    </row>
    <row r="18" spans="1:24" s="215" customFormat="1" ht="15" customHeight="1" thickBot="1" x14ac:dyDescent="0.3">
      <c r="A18" s="210" t="s">
        <v>275</v>
      </c>
      <c r="B18" s="211"/>
      <c r="C18" s="212">
        <f t="shared" ref="C18:N18" si="8">SUM(C16:C17)</f>
        <v>138020</v>
      </c>
      <c r="D18" s="213">
        <f t="shared" si="8"/>
        <v>-4536</v>
      </c>
      <c r="E18" s="214">
        <f t="shared" si="8"/>
        <v>133484</v>
      </c>
      <c r="F18" s="212">
        <f t="shared" si="8"/>
        <v>94107</v>
      </c>
      <c r="G18" s="213">
        <f t="shared" si="8"/>
        <v>-2441</v>
      </c>
      <c r="H18" s="214">
        <f t="shared" si="8"/>
        <v>91666</v>
      </c>
      <c r="I18" s="212">
        <f t="shared" si="8"/>
        <v>103859</v>
      </c>
      <c r="J18" s="213">
        <f t="shared" si="8"/>
        <v>-5625</v>
      </c>
      <c r="K18" s="214">
        <f t="shared" si="8"/>
        <v>98234</v>
      </c>
      <c r="L18" s="212">
        <f t="shared" si="8"/>
        <v>93018</v>
      </c>
      <c r="M18" s="213">
        <f t="shared" si="8"/>
        <v>-2350</v>
      </c>
      <c r="N18" s="214">
        <f t="shared" si="8"/>
        <v>90668</v>
      </c>
      <c r="O18" s="212">
        <f>SUM(O16:O17)</f>
        <v>100364</v>
      </c>
      <c r="P18" s="213">
        <f>SUM(P16:P17)</f>
        <v>-1153</v>
      </c>
      <c r="Q18" s="214">
        <f>SUM(Q16:Q17)</f>
        <v>99211</v>
      </c>
      <c r="S18" s="209"/>
      <c r="T18" s="209"/>
      <c r="U18" s="209"/>
    </row>
    <row r="19" spans="1:24" s="215" customFormat="1" ht="15" customHeight="1" x14ac:dyDescent="0.25">
      <c r="A19" s="162"/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S19" s="209"/>
      <c r="T19" s="209"/>
      <c r="U19" s="209"/>
    </row>
    <row r="20" spans="1:24" s="215" customFormat="1" ht="15" customHeight="1" thickBot="1" x14ac:dyDescent="0.3">
      <c r="A20" s="162"/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S20" s="209"/>
      <c r="T20" s="209"/>
      <c r="U20" s="209"/>
    </row>
    <row r="21" spans="1:24" s="192" customFormat="1" ht="15" customHeight="1" x14ac:dyDescent="0.25">
      <c r="A21" s="190"/>
      <c r="B21" s="191"/>
      <c r="C21" s="240" t="s">
        <v>276</v>
      </c>
      <c r="D21" s="241"/>
      <c r="E21" s="242"/>
      <c r="F21" s="240" t="s">
        <v>277</v>
      </c>
      <c r="G21" s="241"/>
      <c r="H21" s="242"/>
      <c r="I21" s="240" t="s">
        <v>278</v>
      </c>
      <c r="J21" s="241"/>
      <c r="K21" s="242"/>
      <c r="L21" s="240" t="s">
        <v>279</v>
      </c>
      <c r="M21" s="241"/>
      <c r="N21" s="242"/>
      <c r="O21" s="240" t="s">
        <v>280</v>
      </c>
      <c r="P21" s="241"/>
      <c r="Q21" s="242"/>
      <c r="R21" s="243" t="s">
        <v>281</v>
      </c>
      <c r="S21" s="244"/>
      <c r="T21" s="245"/>
    </row>
    <row r="22" spans="1:24" s="196" customFormat="1" ht="60" customHeight="1" x14ac:dyDescent="0.25">
      <c r="A22" s="238" t="s">
        <v>7</v>
      </c>
      <c r="B22" s="239"/>
      <c r="C22" s="193" t="s">
        <v>282</v>
      </c>
      <c r="D22" s="194" t="s">
        <v>283</v>
      </c>
      <c r="E22" s="195" t="s">
        <v>284</v>
      </c>
      <c r="F22" s="193" t="s">
        <v>285</v>
      </c>
      <c r="G22" s="194" t="s">
        <v>286</v>
      </c>
      <c r="H22" s="195" t="s">
        <v>287</v>
      </c>
      <c r="I22" s="193" t="s">
        <v>288</v>
      </c>
      <c r="J22" s="194" t="s">
        <v>289</v>
      </c>
      <c r="K22" s="195" t="s">
        <v>290</v>
      </c>
      <c r="L22" s="193" t="s">
        <v>291</v>
      </c>
      <c r="M22" s="194" t="s">
        <v>292</v>
      </c>
      <c r="N22" s="195" t="s">
        <v>293</v>
      </c>
      <c r="O22" s="193" t="s">
        <v>294</v>
      </c>
      <c r="P22" s="194" t="s">
        <v>295</v>
      </c>
      <c r="Q22" s="195" t="s">
        <v>296</v>
      </c>
      <c r="R22" s="224" t="s">
        <v>297</v>
      </c>
      <c r="S22" s="225" t="s">
        <v>298</v>
      </c>
      <c r="T22" s="226" t="s">
        <v>299</v>
      </c>
    </row>
    <row r="23" spans="1:24" s="196" customFormat="1" x14ac:dyDescent="0.25">
      <c r="A23" s="197"/>
      <c r="B23" s="198"/>
      <c r="C23" s="199" t="s">
        <v>58</v>
      </c>
      <c r="D23" s="200" t="s">
        <v>58</v>
      </c>
      <c r="E23" s="201" t="s">
        <v>58</v>
      </c>
      <c r="F23" s="199" t="s">
        <v>58</v>
      </c>
      <c r="G23" s="200" t="s">
        <v>58</v>
      </c>
      <c r="H23" s="201" t="s">
        <v>58</v>
      </c>
      <c r="I23" s="199" t="s">
        <v>58</v>
      </c>
      <c r="J23" s="200" t="s">
        <v>58</v>
      </c>
      <c r="K23" s="201" t="s">
        <v>58</v>
      </c>
      <c r="L23" s="199" t="s">
        <v>58</v>
      </c>
      <c r="M23" s="200" t="s">
        <v>58</v>
      </c>
      <c r="N23" s="201" t="s">
        <v>58</v>
      </c>
      <c r="O23" s="199" t="s">
        <v>58</v>
      </c>
      <c r="P23" s="200" t="s">
        <v>58</v>
      </c>
      <c r="Q23" s="201" t="s">
        <v>58</v>
      </c>
      <c r="R23" s="227" t="s">
        <v>58</v>
      </c>
      <c r="S23" s="228" t="s">
        <v>58</v>
      </c>
      <c r="T23" s="229" t="s">
        <v>58</v>
      </c>
    </row>
    <row r="24" spans="1:24" s="208" customFormat="1" ht="15" customHeight="1" x14ac:dyDescent="0.25">
      <c r="A24" s="202" t="s">
        <v>266</v>
      </c>
      <c r="B24" s="203"/>
      <c r="C24" s="204">
        <v>34055</v>
      </c>
      <c r="D24" s="205">
        <v>-450</v>
      </c>
      <c r="E24" s="206">
        <f>C24+D24</f>
        <v>33605</v>
      </c>
      <c r="F24" s="204">
        <v>31250</v>
      </c>
      <c r="G24" s="205">
        <v>-450</v>
      </c>
      <c r="H24" s="206">
        <f>F24+G24</f>
        <v>30800</v>
      </c>
      <c r="I24" s="204">
        <v>16750</v>
      </c>
      <c r="J24" s="205">
        <v>-450</v>
      </c>
      <c r="K24" s="206">
        <f>I24+J24</f>
        <v>16300</v>
      </c>
      <c r="L24" s="204">
        <v>16750</v>
      </c>
      <c r="M24" s="205">
        <v>-450</v>
      </c>
      <c r="N24" s="206">
        <f>L24+M24</f>
        <v>16300</v>
      </c>
      <c r="O24" s="204">
        <v>0</v>
      </c>
      <c r="P24" s="205">
        <v>0</v>
      </c>
      <c r="Q24" s="206">
        <f>O24+P24</f>
        <v>0</v>
      </c>
      <c r="R24" s="230">
        <f t="shared" ref="R24:R30" si="9">+C9+F9+I9+L9+O9+C24+F24+I24+L24+O24</f>
        <v>353313</v>
      </c>
      <c r="S24" s="231">
        <f>+D9+G9+J9+M9+P9+D24+G24+J24+M24</f>
        <v>-8873</v>
      </c>
      <c r="T24" s="232">
        <f>R24+S24</f>
        <v>344440</v>
      </c>
      <c r="V24" s="209"/>
      <c r="W24" s="209"/>
      <c r="X24" s="209"/>
    </row>
    <row r="25" spans="1:24" s="208" customFormat="1" ht="15" customHeight="1" x14ac:dyDescent="0.25">
      <c r="A25" s="202" t="s">
        <v>267</v>
      </c>
      <c r="B25" s="203"/>
      <c r="C25" s="204">
        <v>0</v>
      </c>
      <c r="D25" s="205">
        <v>0</v>
      </c>
      <c r="E25" s="206">
        <f>C25+D25</f>
        <v>0</v>
      </c>
      <c r="F25" s="204">
        <v>0</v>
      </c>
      <c r="G25" s="205">
        <v>0</v>
      </c>
      <c r="H25" s="206">
        <f>F25+G25</f>
        <v>0</v>
      </c>
      <c r="I25" s="204">
        <v>0</v>
      </c>
      <c r="J25" s="205">
        <v>0</v>
      </c>
      <c r="K25" s="206">
        <f>I25+J25</f>
        <v>0</v>
      </c>
      <c r="L25" s="204">
        <v>0</v>
      </c>
      <c r="M25" s="205">
        <v>0</v>
      </c>
      <c r="N25" s="206">
        <f>L25+M25</f>
        <v>0</v>
      </c>
      <c r="O25" s="204">
        <v>0</v>
      </c>
      <c r="P25" s="205">
        <v>0</v>
      </c>
      <c r="Q25" s="206">
        <f>O25+P25</f>
        <v>0</v>
      </c>
      <c r="R25" s="230">
        <f t="shared" si="9"/>
        <v>604</v>
      </c>
      <c r="S25" s="231">
        <f t="shared" ref="S25:S30" si="10">D10+G10+J10+M10+P10+D25+G25+J25+M25</f>
        <v>0</v>
      </c>
      <c r="T25" s="232">
        <f>R25+S25</f>
        <v>604</v>
      </c>
      <c r="V25" s="209"/>
      <c r="W25" s="209"/>
      <c r="X25" s="209"/>
    </row>
    <row r="26" spans="1:24" s="208" customFormat="1" ht="15" customHeight="1" x14ac:dyDescent="0.25">
      <c r="A26" s="202" t="s">
        <v>268</v>
      </c>
      <c r="B26" s="203"/>
      <c r="C26" s="204">
        <v>0</v>
      </c>
      <c r="D26" s="205">
        <v>0</v>
      </c>
      <c r="E26" s="206">
        <f t="shared" ref="E26:H32" si="11">C26+D26</f>
        <v>0</v>
      </c>
      <c r="F26" s="204">
        <v>0</v>
      </c>
      <c r="G26" s="205">
        <v>0</v>
      </c>
      <c r="H26" s="206">
        <f t="shared" ref="H26:H30" si="12">F26+G26</f>
        <v>0</v>
      </c>
      <c r="I26" s="204">
        <v>0</v>
      </c>
      <c r="J26" s="205">
        <v>0</v>
      </c>
      <c r="K26" s="206">
        <f t="shared" ref="K26:K32" si="13">I26+J26</f>
        <v>0</v>
      </c>
      <c r="L26" s="204">
        <v>0</v>
      </c>
      <c r="M26" s="205">
        <v>0</v>
      </c>
      <c r="N26" s="206">
        <f t="shared" ref="N26:N32" si="14">L26+M26</f>
        <v>0</v>
      </c>
      <c r="O26" s="204">
        <v>0</v>
      </c>
      <c r="P26" s="205">
        <v>0</v>
      </c>
      <c r="Q26" s="206">
        <f t="shared" ref="Q26:Q30" si="15">O26+P26</f>
        <v>0</v>
      </c>
      <c r="R26" s="230">
        <f t="shared" si="9"/>
        <v>23129</v>
      </c>
      <c r="S26" s="231">
        <f t="shared" si="10"/>
        <v>0</v>
      </c>
      <c r="T26" s="232">
        <f t="shared" ref="T26:T32" si="16">R26+S26</f>
        <v>23129</v>
      </c>
      <c r="V26" s="209"/>
      <c r="W26" s="209"/>
      <c r="X26" s="209"/>
    </row>
    <row r="27" spans="1:24" s="208" customFormat="1" ht="15" customHeight="1" x14ac:dyDescent="0.25">
      <c r="A27" s="202" t="s">
        <v>269</v>
      </c>
      <c r="B27" s="203"/>
      <c r="C27" s="204">
        <v>19465</v>
      </c>
      <c r="D27" s="205">
        <v>-350</v>
      </c>
      <c r="E27" s="206">
        <f t="shared" si="11"/>
        <v>19115</v>
      </c>
      <c r="F27" s="204">
        <v>13465</v>
      </c>
      <c r="G27" s="205">
        <v>-350</v>
      </c>
      <c r="H27" s="206">
        <f t="shared" si="12"/>
        <v>13115</v>
      </c>
      <c r="I27" s="204">
        <v>13465</v>
      </c>
      <c r="J27" s="205">
        <v>-350</v>
      </c>
      <c r="K27" s="206">
        <f t="shared" si="13"/>
        <v>13115</v>
      </c>
      <c r="L27" s="204">
        <v>15800</v>
      </c>
      <c r="M27" s="205">
        <v>-350</v>
      </c>
      <c r="N27" s="206">
        <f t="shared" si="14"/>
        <v>15450</v>
      </c>
      <c r="O27" s="204">
        <v>10470</v>
      </c>
      <c r="P27" s="205">
        <v>0</v>
      </c>
      <c r="Q27" s="206">
        <f t="shared" si="15"/>
        <v>10470</v>
      </c>
      <c r="R27" s="230">
        <f t="shared" si="9"/>
        <v>151359</v>
      </c>
      <c r="S27" s="231">
        <f t="shared" si="10"/>
        <v>-3303</v>
      </c>
      <c r="T27" s="232">
        <f t="shared" si="16"/>
        <v>148056</v>
      </c>
      <c r="V27" s="209"/>
      <c r="W27" s="209"/>
      <c r="X27" s="209"/>
    </row>
    <row r="28" spans="1:24" s="208" customFormat="1" ht="15" customHeight="1" x14ac:dyDescent="0.25">
      <c r="A28" s="202" t="s">
        <v>270</v>
      </c>
      <c r="B28" s="203"/>
      <c r="C28" s="204">
        <v>27843</v>
      </c>
      <c r="D28" s="205">
        <v>-353</v>
      </c>
      <c r="E28" s="206">
        <f t="shared" si="11"/>
        <v>27490</v>
      </c>
      <c r="F28" s="204">
        <v>28986</v>
      </c>
      <c r="G28" s="205">
        <v>-353</v>
      </c>
      <c r="H28" s="206">
        <f t="shared" si="12"/>
        <v>28633</v>
      </c>
      <c r="I28" s="204">
        <v>30686</v>
      </c>
      <c r="J28" s="205">
        <v>-353</v>
      </c>
      <c r="K28" s="206">
        <f t="shared" si="13"/>
        <v>30333</v>
      </c>
      <c r="L28" s="204">
        <v>30501</v>
      </c>
      <c r="M28" s="205">
        <v>-353</v>
      </c>
      <c r="N28" s="206">
        <f t="shared" si="14"/>
        <v>30148</v>
      </c>
      <c r="O28" s="204">
        <v>18845</v>
      </c>
      <c r="P28" s="205">
        <v>0</v>
      </c>
      <c r="Q28" s="206">
        <f t="shared" si="15"/>
        <v>18845</v>
      </c>
      <c r="R28" s="230">
        <f t="shared" si="9"/>
        <v>356775</v>
      </c>
      <c r="S28" s="231">
        <f t="shared" si="10"/>
        <v>-8541</v>
      </c>
      <c r="T28" s="232">
        <f t="shared" si="16"/>
        <v>348234</v>
      </c>
      <c r="V28" s="209"/>
      <c r="W28" s="209"/>
      <c r="X28" s="209"/>
    </row>
    <row r="29" spans="1:24" s="208" customFormat="1" ht="15" customHeight="1" x14ac:dyDescent="0.25">
      <c r="A29" s="202" t="s">
        <v>271</v>
      </c>
      <c r="B29" s="203"/>
      <c r="C29" s="204">
        <v>500</v>
      </c>
      <c r="D29" s="205">
        <v>0</v>
      </c>
      <c r="E29" s="206">
        <f t="shared" si="11"/>
        <v>500</v>
      </c>
      <c r="F29" s="204">
        <v>500</v>
      </c>
      <c r="G29" s="205">
        <v>0</v>
      </c>
      <c r="H29" s="206">
        <f t="shared" si="12"/>
        <v>500</v>
      </c>
      <c r="I29" s="204">
        <v>500</v>
      </c>
      <c r="J29" s="205">
        <v>0</v>
      </c>
      <c r="K29" s="206">
        <f t="shared" si="13"/>
        <v>500</v>
      </c>
      <c r="L29" s="204">
        <v>2500</v>
      </c>
      <c r="M29" s="205">
        <v>0</v>
      </c>
      <c r="N29" s="206">
        <f t="shared" si="14"/>
        <v>2500</v>
      </c>
      <c r="O29" s="204">
        <v>2000</v>
      </c>
      <c r="P29" s="205">
        <v>0</v>
      </c>
      <c r="Q29" s="206">
        <f t="shared" si="15"/>
        <v>2000</v>
      </c>
      <c r="R29" s="230">
        <f t="shared" si="9"/>
        <v>8850</v>
      </c>
      <c r="S29" s="231">
        <f t="shared" si="10"/>
        <v>0</v>
      </c>
      <c r="T29" s="232">
        <f t="shared" si="16"/>
        <v>8850</v>
      </c>
      <c r="V29" s="209"/>
      <c r="W29" s="209"/>
      <c r="X29" s="209"/>
    </row>
    <row r="30" spans="1:24" s="208" customFormat="1" ht="15" customHeight="1" thickBot="1" x14ac:dyDescent="0.3">
      <c r="A30" s="202" t="s">
        <v>272</v>
      </c>
      <c r="B30" s="203"/>
      <c r="C30" s="204">
        <v>250</v>
      </c>
      <c r="D30" s="205">
        <v>0</v>
      </c>
      <c r="E30" s="206">
        <f t="shared" si="11"/>
        <v>250</v>
      </c>
      <c r="F30" s="204">
        <v>500</v>
      </c>
      <c r="G30" s="205">
        <v>0</v>
      </c>
      <c r="H30" s="206">
        <f t="shared" si="12"/>
        <v>500</v>
      </c>
      <c r="I30" s="204">
        <v>250</v>
      </c>
      <c r="J30" s="205">
        <v>0</v>
      </c>
      <c r="K30" s="206">
        <f t="shared" si="13"/>
        <v>250</v>
      </c>
      <c r="L30" s="204">
        <v>1000</v>
      </c>
      <c r="M30" s="205">
        <v>0</v>
      </c>
      <c r="N30" s="206">
        <f t="shared" si="14"/>
        <v>1000</v>
      </c>
      <c r="O30" s="204">
        <v>500</v>
      </c>
      <c r="P30" s="205">
        <v>0</v>
      </c>
      <c r="Q30" s="206">
        <f t="shared" si="15"/>
        <v>500</v>
      </c>
      <c r="R30" s="230">
        <f t="shared" si="9"/>
        <v>6169</v>
      </c>
      <c r="S30" s="231">
        <f t="shared" si="10"/>
        <v>0</v>
      </c>
      <c r="T30" s="232">
        <f t="shared" si="16"/>
        <v>6169</v>
      </c>
      <c r="V30" s="209"/>
      <c r="W30" s="209"/>
      <c r="X30" s="209"/>
    </row>
    <row r="31" spans="1:24" s="215" customFormat="1" ht="15" customHeight="1" thickBot="1" x14ac:dyDescent="0.3">
      <c r="A31" s="210" t="s">
        <v>273</v>
      </c>
      <c r="B31" s="211"/>
      <c r="C31" s="212">
        <f t="shared" ref="C31:N31" si="17">SUM(C24:C30)</f>
        <v>82113</v>
      </c>
      <c r="D31" s="213">
        <f t="shared" si="17"/>
        <v>-1153</v>
      </c>
      <c r="E31" s="214">
        <f t="shared" si="17"/>
        <v>80960</v>
      </c>
      <c r="F31" s="212">
        <f t="shared" si="17"/>
        <v>74701</v>
      </c>
      <c r="G31" s="213">
        <f t="shared" si="17"/>
        <v>-1153</v>
      </c>
      <c r="H31" s="214">
        <f t="shared" si="17"/>
        <v>73548</v>
      </c>
      <c r="I31" s="212">
        <f t="shared" si="17"/>
        <v>61651</v>
      </c>
      <c r="J31" s="213">
        <f t="shared" si="17"/>
        <v>-1153</v>
      </c>
      <c r="K31" s="214">
        <f t="shared" si="17"/>
        <v>60498</v>
      </c>
      <c r="L31" s="212">
        <f t="shared" si="17"/>
        <v>66551</v>
      </c>
      <c r="M31" s="213">
        <f t="shared" si="17"/>
        <v>-1153</v>
      </c>
      <c r="N31" s="214">
        <f t="shared" si="17"/>
        <v>65398</v>
      </c>
      <c r="O31" s="212">
        <f t="shared" ref="O31:T31" si="18">SUM(O24:O30)</f>
        <v>31815</v>
      </c>
      <c r="P31" s="213">
        <f t="shared" si="18"/>
        <v>0</v>
      </c>
      <c r="Q31" s="214">
        <f t="shared" si="18"/>
        <v>31815</v>
      </c>
      <c r="R31" s="233">
        <f t="shared" si="18"/>
        <v>900199</v>
      </c>
      <c r="S31" s="234">
        <f t="shared" si="18"/>
        <v>-20717</v>
      </c>
      <c r="T31" s="235">
        <f t="shared" si="18"/>
        <v>879482</v>
      </c>
      <c r="V31" s="209"/>
      <c r="W31" s="209"/>
      <c r="X31" s="209"/>
    </row>
    <row r="32" spans="1:24" s="221" customFormat="1" ht="15" customHeight="1" thickBot="1" x14ac:dyDescent="0.3">
      <c r="A32" s="216" t="s">
        <v>274</v>
      </c>
      <c r="B32" s="217"/>
      <c r="C32" s="218"/>
      <c r="D32" s="219"/>
      <c r="E32" s="220">
        <f t="shared" si="11"/>
        <v>0</v>
      </c>
      <c r="F32" s="218"/>
      <c r="G32" s="219"/>
      <c r="H32" s="220">
        <f t="shared" si="11"/>
        <v>0</v>
      </c>
      <c r="I32" s="218"/>
      <c r="J32" s="219"/>
      <c r="K32" s="220">
        <f t="shared" si="13"/>
        <v>0</v>
      </c>
      <c r="L32" s="204"/>
      <c r="M32" s="205"/>
      <c r="N32" s="206">
        <f t="shared" si="14"/>
        <v>0</v>
      </c>
      <c r="O32" s="204"/>
      <c r="P32" s="205"/>
      <c r="Q32" s="206">
        <f t="shared" ref="Q32" si="19">O32+P32</f>
        <v>0</v>
      </c>
      <c r="R32" s="230">
        <f>C17+F17+I17+L17+O17+C32+F32+I32+L32</f>
        <v>-54000</v>
      </c>
      <c r="S32" s="231">
        <f>D17+G17+J17+M17+P17+D32+G32+J32+M32</f>
        <v>0</v>
      </c>
      <c r="T32" s="232">
        <f t="shared" si="16"/>
        <v>-54000</v>
      </c>
      <c r="V32" s="209"/>
      <c r="W32" s="209"/>
      <c r="X32" s="209"/>
    </row>
    <row r="33" spans="1:24" s="215" customFormat="1" ht="15" customHeight="1" thickBot="1" x14ac:dyDescent="0.3">
      <c r="A33" s="210" t="s">
        <v>275</v>
      </c>
      <c r="B33" s="211"/>
      <c r="C33" s="212">
        <f t="shared" ref="C33:N33" si="20">SUM(C31:C32)</f>
        <v>82113</v>
      </c>
      <c r="D33" s="213">
        <f t="shared" si="20"/>
        <v>-1153</v>
      </c>
      <c r="E33" s="214">
        <f t="shared" si="20"/>
        <v>80960</v>
      </c>
      <c r="F33" s="212">
        <f t="shared" si="20"/>
        <v>74701</v>
      </c>
      <c r="G33" s="213">
        <f t="shared" si="20"/>
        <v>-1153</v>
      </c>
      <c r="H33" s="214">
        <f t="shared" si="20"/>
        <v>73548</v>
      </c>
      <c r="I33" s="212">
        <f t="shared" si="20"/>
        <v>61651</v>
      </c>
      <c r="J33" s="213">
        <f t="shared" si="20"/>
        <v>-1153</v>
      </c>
      <c r="K33" s="214">
        <f t="shared" si="20"/>
        <v>60498</v>
      </c>
      <c r="L33" s="212">
        <f t="shared" si="20"/>
        <v>66551</v>
      </c>
      <c r="M33" s="213">
        <f t="shared" si="20"/>
        <v>-1153</v>
      </c>
      <c r="N33" s="214">
        <f t="shared" si="20"/>
        <v>65398</v>
      </c>
      <c r="O33" s="212">
        <f t="shared" ref="O33:T33" si="21">SUM(O31:O32)</f>
        <v>31815</v>
      </c>
      <c r="P33" s="213">
        <f t="shared" si="21"/>
        <v>0</v>
      </c>
      <c r="Q33" s="214">
        <f t="shared" si="21"/>
        <v>31815</v>
      </c>
      <c r="R33" s="233">
        <f t="shared" si="21"/>
        <v>846199</v>
      </c>
      <c r="S33" s="234">
        <f t="shared" si="21"/>
        <v>-20717</v>
      </c>
      <c r="T33" s="235">
        <f t="shared" si="21"/>
        <v>825482</v>
      </c>
      <c r="V33" s="209"/>
      <c r="W33" s="209"/>
      <c r="X33" s="209"/>
    </row>
  </sheetData>
  <mergeCells count="13">
    <mergeCell ref="A7:B7"/>
    <mergeCell ref="O21:Q21"/>
    <mergeCell ref="R21:T21"/>
    <mergeCell ref="C6:E6"/>
    <mergeCell ref="F6:H6"/>
    <mergeCell ref="I6:K6"/>
    <mergeCell ref="L6:N6"/>
    <mergeCell ref="O6:Q6"/>
    <mergeCell ref="A22:B22"/>
    <mergeCell ref="C21:E21"/>
    <mergeCell ref="F21:H21"/>
    <mergeCell ref="I21:K21"/>
    <mergeCell ref="L21:N21"/>
  </mergeCells>
  <pageMargins left="0.59055118110236227" right="0.59055118110236227" top="0.35433070866141736" bottom="0.35433070866141736" header="0.31496062992125984" footer="0.31496062992125984"/>
  <pageSetup paperSize="8" scale="90" fitToHeight="0" orientation="landscape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4"/>
  <sheetViews>
    <sheetView zoomScale="80" zoomScaleNormal="80" workbookViewId="0">
      <pane xSplit="1" ySplit="4" topLeftCell="B13" activePane="bottomRight" state="frozen"/>
      <selection activeCell="J16" sqref="J16"/>
      <selection pane="topRight" activeCell="J16" sqref="J16"/>
      <selection pane="bottomLeft" activeCell="J16" sqref="J16"/>
      <selection pane="bottomRight" activeCell="A219" sqref="A218:XFD219"/>
    </sheetView>
  </sheetViews>
  <sheetFormatPr defaultColWidth="9.33203125" defaultRowHeight="13.2" x14ac:dyDescent="0.25"/>
  <cols>
    <col min="1" max="1" width="60.6640625" style="59" customWidth="1"/>
    <col min="2" max="2" width="10.109375" style="55" customWidth="1"/>
    <col min="3" max="9" width="12.33203125" style="55" customWidth="1"/>
    <col min="10" max="11" width="12.33203125" style="54" customWidth="1"/>
    <col min="12" max="12" width="2.33203125" style="59" customWidth="1"/>
    <col min="13" max="13" width="12.33203125" style="55" customWidth="1"/>
    <col min="14" max="16384" width="9.33203125" style="59"/>
  </cols>
  <sheetData>
    <row r="1" spans="1:13" ht="15.6" x14ac:dyDescent="0.3">
      <c r="A1" s="56" t="s">
        <v>237</v>
      </c>
      <c r="B1" s="132"/>
      <c r="M1" s="131"/>
    </row>
    <row r="2" spans="1:13" ht="15" customHeight="1" thickBot="1" x14ac:dyDescent="0.3">
      <c r="B2" s="133"/>
      <c r="C2" s="60"/>
      <c r="D2" s="60"/>
      <c r="E2" s="60"/>
      <c r="F2" s="60"/>
      <c r="G2" s="60"/>
      <c r="H2" s="60"/>
      <c r="I2" s="60"/>
      <c r="J2" s="60"/>
      <c r="K2" s="60"/>
    </row>
    <row r="3" spans="1:13" s="61" customFormat="1" ht="64.95" customHeight="1" x14ac:dyDescent="0.25">
      <c r="A3" s="154" t="s">
        <v>100</v>
      </c>
      <c r="B3" s="155" t="s">
        <v>59</v>
      </c>
      <c r="C3" s="155" t="s">
        <v>225</v>
      </c>
      <c r="D3" s="155" t="s">
        <v>226</v>
      </c>
      <c r="E3" s="155" t="s">
        <v>227</v>
      </c>
      <c r="F3" s="155" t="s">
        <v>228</v>
      </c>
      <c r="G3" s="155" t="s">
        <v>229</v>
      </c>
      <c r="H3" s="155" t="s">
        <v>230</v>
      </c>
      <c r="I3" s="155" t="s">
        <v>231</v>
      </c>
      <c r="J3" s="163" t="s">
        <v>232</v>
      </c>
      <c r="K3" s="156" t="s">
        <v>236</v>
      </c>
      <c r="L3" s="96"/>
      <c r="M3" s="157" t="s">
        <v>239</v>
      </c>
    </row>
    <row r="4" spans="1:13" s="61" customFormat="1" x14ac:dyDescent="0.25">
      <c r="A4" s="137"/>
      <c r="B4" s="62" t="s">
        <v>58</v>
      </c>
      <c r="C4" s="62" t="s">
        <v>58</v>
      </c>
      <c r="D4" s="62" t="s">
        <v>58</v>
      </c>
      <c r="E4" s="62" t="s">
        <v>58</v>
      </c>
      <c r="F4" s="62" t="s">
        <v>58</v>
      </c>
      <c r="G4" s="62" t="s">
        <v>58</v>
      </c>
      <c r="H4" s="62" t="s">
        <v>58</v>
      </c>
      <c r="I4" s="62" t="s">
        <v>58</v>
      </c>
      <c r="J4" s="164" t="s">
        <v>58</v>
      </c>
      <c r="K4" s="164" t="s">
        <v>58</v>
      </c>
      <c r="L4" s="96"/>
      <c r="M4" s="63" t="s">
        <v>58</v>
      </c>
    </row>
    <row r="5" spans="1:13" s="64" customFormat="1" x14ac:dyDescent="0.25">
      <c r="A5" s="138" t="s">
        <v>68</v>
      </c>
      <c r="B5" s="68"/>
      <c r="C5" s="68"/>
      <c r="D5" s="68"/>
      <c r="E5" s="68"/>
      <c r="F5" s="68"/>
      <c r="G5" s="68"/>
      <c r="H5" s="68"/>
      <c r="I5" s="68"/>
      <c r="J5" s="165"/>
      <c r="K5" s="105"/>
      <c r="L5" s="97"/>
      <c r="M5" s="98"/>
    </row>
    <row r="6" spans="1:13" ht="15" customHeight="1" x14ac:dyDescent="0.25">
      <c r="A6" s="139" t="s">
        <v>69</v>
      </c>
      <c r="B6" s="69">
        <v>19</v>
      </c>
      <c r="C6" s="69"/>
      <c r="D6" s="69"/>
      <c r="E6" s="69"/>
      <c r="F6" s="69"/>
      <c r="G6" s="69"/>
      <c r="H6" s="69"/>
      <c r="I6" s="69"/>
      <c r="J6" s="165"/>
      <c r="K6" s="105"/>
      <c r="L6" s="99"/>
      <c r="M6" s="65">
        <f>SUM(B6:L6)</f>
        <v>19</v>
      </c>
    </row>
    <row r="7" spans="1:13" ht="15" customHeight="1" x14ac:dyDescent="0.25">
      <c r="A7" s="139" t="s">
        <v>68</v>
      </c>
      <c r="B7" s="69">
        <v>1160</v>
      </c>
      <c r="C7" s="69">
        <v>290</v>
      </c>
      <c r="D7" s="69">
        <v>684</v>
      </c>
      <c r="E7" s="69">
        <v>300</v>
      </c>
      <c r="F7" s="69">
        <v>900</v>
      </c>
      <c r="G7" s="69">
        <v>500</v>
      </c>
      <c r="H7" s="69">
        <v>1250</v>
      </c>
      <c r="I7" s="69">
        <v>500</v>
      </c>
      <c r="J7" s="165">
        <v>500</v>
      </c>
      <c r="K7" s="105"/>
      <c r="L7" s="99"/>
      <c r="M7" s="65">
        <f t="shared" ref="M7:M50" si="0">SUM(B7:L7)</f>
        <v>6084</v>
      </c>
    </row>
    <row r="8" spans="1:13" ht="15" customHeight="1" x14ac:dyDescent="0.25">
      <c r="A8" s="139" t="s">
        <v>62</v>
      </c>
      <c r="B8" s="69">
        <v>100</v>
      </c>
      <c r="C8" s="69">
        <v>2400</v>
      </c>
      <c r="D8" s="69">
        <v>500</v>
      </c>
      <c r="E8" s="69"/>
      <c r="F8" s="69"/>
      <c r="G8" s="69"/>
      <c r="H8" s="69"/>
      <c r="I8" s="69"/>
      <c r="J8" s="165"/>
      <c r="K8" s="105"/>
      <c r="L8" s="99"/>
      <c r="M8" s="65">
        <f t="shared" si="0"/>
        <v>3000</v>
      </c>
    </row>
    <row r="9" spans="1:13" s="67" customFormat="1" ht="15" customHeight="1" x14ac:dyDescent="0.25">
      <c r="A9" s="139" t="s">
        <v>70</v>
      </c>
      <c r="B9" s="69">
        <v>99</v>
      </c>
      <c r="C9" s="69"/>
      <c r="D9" s="69"/>
      <c r="E9" s="69"/>
      <c r="F9" s="69"/>
      <c r="G9" s="69"/>
      <c r="H9" s="69"/>
      <c r="I9" s="69"/>
      <c r="J9" s="166"/>
      <c r="K9" s="106"/>
      <c r="L9" s="101"/>
      <c r="M9" s="65">
        <f t="shared" si="0"/>
        <v>99</v>
      </c>
    </row>
    <row r="10" spans="1:13" s="67" customFormat="1" ht="15" customHeight="1" x14ac:dyDescent="0.25">
      <c r="A10" s="139" t="s">
        <v>71</v>
      </c>
      <c r="B10" s="69">
        <v>854</v>
      </c>
      <c r="C10" s="69">
        <v>50</v>
      </c>
      <c r="D10" s="69"/>
      <c r="E10" s="69"/>
      <c r="F10" s="69"/>
      <c r="G10" s="69"/>
      <c r="H10" s="69"/>
      <c r="I10" s="69"/>
      <c r="J10" s="166"/>
      <c r="K10" s="106"/>
      <c r="L10" s="101"/>
      <c r="M10" s="65">
        <f t="shared" si="0"/>
        <v>904</v>
      </c>
    </row>
    <row r="11" spans="1:13" s="66" customFormat="1" x14ac:dyDescent="0.25">
      <c r="A11" s="139" t="s">
        <v>72</v>
      </c>
      <c r="B11" s="69">
        <v>730</v>
      </c>
      <c r="C11" s="69">
        <v>75</v>
      </c>
      <c r="D11" s="69"/>
      <c r="E11" s="69">
        <v>700</v>
      </c>
      <c r="F11" s="69"/>
      <c r="G11" s="69">
        <v>2300</v>
      </c>
      <c r="H11" s="69"/>
      <c r="I11" s="69"/>
      <c r="J11" s="165"/>
      <c r="K11" s="105"/>
      <c r="L11" s="100"/>
      <c r="M11" s="65">
        <f t="shared" si="0"/>
        <v>3805</v>
      </c>
    </row>
    <row r="12" spans="1:13" s="66" customFormat="1" x14ac:dyDescent="0.25">
      <c r="A12" s="139" t="s">
        <v>73</v>
      </c>
      <c r="B12" s="69">
        <v>633</v>
      </c>
      <c r="C12" s="69">
        <v>50</v>
      </c>
      <c r="D12" s="69"/>
      <c r="E12" s="69"/>
      <c r="F12" s="69"/>
      <c r="G12" s="69"/>
      <c r="H12" s="69"/>
      <c r="I12" s="69"/>
      <c r="J12" s="165"/>
      <c r="K12" s="105"/>
      <c r="L12" s="100"/>
      <c r="M12" s="65">
        <f t="shared" si="0"/>
        <v>683</v>
      </c>
    </row>
    <row r="13" spans="1:13" s="64" customFormat="1" x14ac:dyDescent="0.25">
      <c r="A13" s="138" t="s">
        <v>74</v>
      </c>
      <c r="B13" s="68"/>
      <c r="C13" s="68"/>
      <c r="D13" s="68"/>
      <c r="E13" s="68"/>
      <c r="F13" s="68"/>
      <c r="G13" s="68"/>
      <c r="H13" s="68"/>
      <c r="I13" s="68"/>
      <c r="J13" s="165"/>
      <c r="K13" s="105"/>
      <c r="L13" s="97"/>
      <c r="M13" s="98"/>
    </row>
    <row r="14" spans="1:13" s="66" customFormat="1" x14ac:dyDescent="0.25">
      <c r="A14" s="139" t="s">
        <v>75</v>
      </c>
      <c r="B14" s="69">
        <v>475</v>
      </c>
      <c r="C14" s="69">
        <v>2000</v>
      </c>
      <c r="D14" s="69">
        <v>5000</v>
      </c>
      <c r="E14" s="69">
        <v>2000</v>
      </c>
      <c r="F14" s="69">
        <v>500</v>
      </c>
      <c r="G14" s="69"/>
      <c r="H14" s="69"/>
      <c r="I14" s="69"/>
      <c r="J14" s="165"/>
      <c r="K14" s="105"/>
      <c r="L14" s="100"/>
      <c r="M14" s="65">
        <f t="shared" si="0"/>
        <v>9975</v>
      </c>
    </row>
    <row r="15" spans="1:13" s="66" customFormat="1" x14ac:dyDescent="0.25">
      <c r="A15" s="139" t="s">
        <v>76</v>
      </c>
      <c r="B15" s="69">
        <v>18506</v>
      </c>
      <c r="C15" s="69">
        <v>7250</v>
      </c>
      <c r="D15" s="69">
        <v>2000</v>
      </c>
      <c r="E15" s="69"/>
      <c r="F15" s="69"/>
      <c r="G15" s="69"/>
      <c r="H15" s="69"/>
      <c r="I15" s="69"/>
      <c r="J15" s="165"/>
      <c r="K15" s="105"/>
      <c r="L15" s="100"/>
      <c r="M15" s="65">
        <f t="shared" si="0"/>
        <v>27756</v>
      </c>
    </row>
    <row r="16" spans="1:13" s="66" customFormat="1" x14ac:dyDescent="0.25">
      <c r="A16" s="139" t="s">
        <v>77</v>
      </c>
      <c r="B16" s="69">
        <v>2301</v>
      </c>
      <c r="C16" s="69">
        <v>500</v>
      </c>
      <c r="D16" s="69"/>
      <c r="E16" s="69"/>
      <c r="F16" s="69"/>
      <c r="G16" s="69"/>
      <c r="H16" s="69"/>
      <c r="I16" s="69"/>
      <c r="J16" s="165"/>
      <c r="K16" s="105"/>
      <c r="L16" s="100"/>
      <c r="M16" s="65">
        <f t="shared" si="0"/>
        <v>2801</v>
      </c>
    </row>
    <row r="17" spans="1:13" s="66" customFormat="1" x14ac:dyDescent="0.25">
      <c r="A17" s="139" t="s">
        <v>78</v>
      </c>
      <c r="B17" s="69">
        <v>1409</v>
      </c>
      <c r="C17" s="69">
        <v>2000</v>
      </c>
      <c r="D17" s="69">
        <v>70</v>
      </c>
      <c r="E17" s="69"/>
      <c r="F17" s="69"/>
      <c r="G17" s="69"/>
      <c r="H17" s="69"/>
      <c r="I17" s="69"/>
      <c r="J17" s="165"/>
      <c r="K17" s="105"/>
      <c r="L17" s="100"/>
      <c r="M17" s="65">
        <f t="shared" si="0"/>
        <v>3479</v>
      </c>
    </row>
    <row r="18" spans="1:13" s="66" customFormat="1" x14ac:dyDescent="0.25">
      <c r="A18" s="139" t="s">
        <v>79</v>
      </c>
      <c r="B18" s="69">
        <v>1605</v>
      </c>
      <c r="C18" s="69">
        <v>500</v>
      </c>
      <c r="D18" s="69">
        <v>900</v>
      </c>
      <c r="E18" s="69"/>
      <c r="F18" s="69"/>
      <c r="G18" s="69"/>
      <c r="H18" s="69"/>
      <c r="I18" s="69"/>
      <c r="J18" s="165"/>
      <c r="K18" s="105"/>
      <c r="L18" s="100"/>
      <c r="M18" s="65">
        <f t="shared" si="0"/>
        <v>3005</v>
      </c>
    </row>
    <row r="19" spans="1:13" s="72" customFormat="1" x14ac:dyDescent="0.25">
      <c r="A19" s="139" t="s">
        <v>98</v>
      </c>
      <c r="B19" s="69">
        <v>1250</v>
      </c>
      <c r="C19" s="69">
        <v>7350</v>
      </c>
      <c r="D19" s="69">
        <v>20000</v>
      </c>
      <c r="E19" s="69">
        <v>15000</v>
      </c>
      <c r="F19" s="69">
        <v>1400</v>
      </c>
      <c r="G19" s="69"/>
      <c r="H19" s="69"/>
      <c r="I19" s="69"/>
      <c r="J19" s="167"/>
      <c r="K19" s="107"/>
      <c r="L19" s="103"/>
      <c r="M19" s="65">
        <f>SUM(B19:L19)</f>
        <v>45000</v>
      </c>
    </row>
    <row r="20" spans="1:13" s="66" customFormat="1" x14ac:dyDescent="0.25">
      <c r="A20" s="139" t="s">
        <v>210</v>
      </c>
      <c r="B20" s="69">
        <v>65</v>
      </c>
      <c r="C20" s="69"/>
      <c r="D20" s="69"/>
      <c r="E20" s="69"/>
      <c r="F20" s="69"/>
      <c r="G20" s="69"/>
      <c r="H20" s="69"/>
      <c r="I20" s="69"/>
      <c r="J20" s="165"/>
      <c r="K20" s="105"/>
      <c r="L20" s="100"/>
      <c r="M20" s="65">
        <f t="shared" si="0"/>
        <v>65</v>
      </c>
    </row>
    <row r="21" spans="1:13" s="64" customFormat="1" x14ac:dyDescent="0.25">
      <c r="A21" s="138" t="s">
        <v>80</v>
      </c>
      <c r="B21" s="68"/>
      <c r="C21" s="68"/>
      <c r="D21" s="68"/>
      <c r="E21" s="68"/>
      <c r="F21" s="68"/>
      <c r="G21" s="68"/>
      <c r="H21" s="68"/>
      <c r="I21" s="68"/>
      <c r="J21" s="165"/>
      <c r="K21" s="105"/>
      <c r="L21" s="97"/>
      <c r="M21" s="98"/>
    </row>
    <row r="22" spans="1:13" s="66" customFormat="1" x14ac:dyDescent="0.25">
      <c r="A22" s="139" t="s">
        <v>81</v>
      </c>
      <c r="B22" s="69"/>
      <c r="C22" s="69"/>
      <c r="D22" s="68">
        <v>500</v>
      </c>
      <c r="E22" s="68">
        <v>4500</v>
      </c>
      <c r="F22" s="69">
        <v>4500</v>
      </c>
      <c r="G22" s="69">
        <v>500</v>
      </c>
      <c r="H22" s="69"/>
      <c r="I22" s="69"/>
      <c r="J22" s="165"/>
      <c r="K22" s="105"/>
      <c r="L22" s="100"/>
      <c r="M22" s="65">
        <f t="shared" si="0"/>
        <v>10000</v>
      </c>
    </row>
    <row r="23" spans="1:13" s="66" customFormat="1" x14ac:dyDescent="0.25">
      <c r="A23" s="140" t="s">
        <v>195</v>
      </c>
      <c r="B23" s="69">
        <v>1655</v>
      </c>
      <c r="C23" s="69">
        <v>50</v>
      </c>
      <c r="D23" s="69"/>
      <c r="E23" s="69"/>
      <c r="F23" s="69"/>
      <c r="G23" s="69"/>
      <c r="H23" s="69"/>
      <c r="I23" s="69"/>
      <c r="J23" s="165"/>
      <c r="K23" s="105"/>
      <c r="L23" s="100"/>
      <c r="M23" s="65">
        <f t="shared" si="0"/>
        <v>1705</v>
      </c>
    </row>
    <row r="24" spans="1:13" s="67" customFormat="1" ht="15" customHeight="1" x14ac:dyDescent="0.25">
      <c r="A24" s="139" t="s">
        <v>82</v>
      </c>
      <c r="B24" s="69">
        <v>6598</v>
      </c>
      <c r="C24" s="69">
        <v>4469</v>
      </c>
      <c r="D24" s="69">
        <v>300</v>
      </c>
      <c r="E24" s="69"/>
      <c r="F24" s="69"/>
      <c r="G24" s="69"/>
      <c r="H24" s="69"/>
      <c r="I24" s="69"/>
      <c r="J24" s="166"/>
      <c r="K24" s="106"/>
      <c r="L24" s="101"/>
      <c r="M24" s="65">
        <f t="shared" si="0"/>
        <v>11367</v>
      </c>
    </row>
    <row r="25" spans="1:13" s="66" customFormat="1" x14ac:dyDescent="0.25">
      <c r="A25" s="139" t="s">
        <v>83</v>
      </c>
      <c r="B25" s="69">
        <v>1685</v>
      </c>
      <c r="C25" s="69">
        <v>170</v>
      </c>
      <c r="D25" s="69"/>
      <c r="E25" s="69"/>
      <c r="F25" s="69"/>
      <c r="G25" s="69"/>
      <c r="H25" s="69"/>
      <c r="I25" s="69"/>
      <c r="J25" s="165"/>
      <c r="K25" s="105"/>
      <c r="L25" s="100"/>
      <c r="M25" s="65">
        <f t="shared" si="0"/>
        <v>1855</v>
      </c>
    </row>
    <row r="26" spans="1:13" s="71" customFormat="1" ht="15" customHeight="1" x14ac:dyDescent="0.25">
      <c r="A26" s="139" t="s">
        <v>84</v>
      </c>
      <c r="B26" s="69">
        <v>3937</v>
      </c>
      <c r="C26" s="69">
        <v>237</v>
      </c>
      <c r="D26" s="69"/>
      <c r="E26" s="69"/>
      <c r="F26" s="69"/>
      <c r="G26" s="69"/>
      <c r="H26" s="69"/>
      <c r="I26" s="69"/>
      <c r="J26" s="167"/>
      <c r="K26" s="107"/>
      <c r="L26" s="102"/>
      <c r="M26" s="65">
        <f t="shared" si="0"/>
        <v>4174</v>
      </c>
    </row>
    <row r="27" spans="1:13" ht="15" customHeight="1" x14ac:dyDescent="0.25">
      <c r="A27" s="139" t="s">
        <v>63</v>
      </c>
      <c r="B27" s="69">
        <v>1031</v>
      </c>
      <c r="C27" s="69">
        <v>2034</v>
      </c>
      <c r="D27" s="69">
        <v>5383</v>
      </c>
      <c r="E27" s="69">
        <v>200</v>
      </c>
      <c r="F27" s="69"/>
      <c r="G27" s="69"/>
      <c r="H27" s="69"/>
      <c r="I27" s="69"/>
      <c r="J27" s="165"/>
      <c r="K27" s="105"/>
      <c r="L27" s="99"/>
      <c r="M27" s="65">
        <f t="shared" si="0"/>
        <v>8648</v>
      </c>
    </row>
    <row r="28" spans="1:13" s="71" customFormat="1" ht="15" customHeight="1" x14ac:dyDescent="0.25">
      <c r="A28" s="139" t="s">
        <v>85</v>
      </c>
      <c r="B28" s="69">
        <v>10354</v>
      </c>
      <c r="C28" s="69">
        <v>250</v>
      </c>
      <c r="D28" s="69"/>
      <c r="E28" s="69"/>
      <c r="F28" s="69"/>
      <c r="G28" s="69"/>
      <c r="H28" s="69"/>
      <c r="I28" s="69"/>
      <c r="J28" s="167"/>
      <c r="K28" s="107"/>
      <c r="L28" s="102"/>
      <c r="M28" s="65">
        <f t="shared" si="0"/>
        <v>10604</v>
      </c>
    </row>
    <row r="29" spans="1:13" s="66" customFormat="1" x14ac:dyDescent="0.25">
      <c r="A29" s="139" t="s">
        <v>211</v>
      </c>
      <c r="B29" s="69">
        <v>125</v>
      </c>
      <c r="C29" s="69"/>
      <c r="D29" s="69"/>
      <c r="E29" s="69"/>
      <c r="F29" s="69"/>
      <c r="G29" s="69"/>
      <c r="H29" s="69"/>
      <c r="I29" s="69"/>
      <c r="J29" s="165"/>
      <c r="K29" s="105"/>
      <c r="L29" s="100"/>
      <c r="M29" s="65">
        <f t="shared" ref="M29" si="1">SUM(B29:L29)</f>
        <v>125</v>
      </c>
    </row>
    <row r="30" spans="1:13" s="64" customFormat="1" x14ac:dyDescent="0.25">
      <c r="A30" s="138" t="s">
        <v>86</v>
      </c>
      <c r="B30" s="68"/>
      <c r="C30" s="68"/>
      <c r="D30" s="68"/>
      <c r="E30" s="68"/>
      <c r="F30" s="68"/>
      <c r="G30" s="68"/>
      <c r="H30" s="68"/>
      <c r="I30" s="68"/>
      <c r="J30" s="165"/>
      <c r="K30" s="105"/>
      <c r="L30" s="97"/>
      <c r="M30" s="98"/>
    </row>
    <row r="31" spans="1:13" ht="15" customHeight="1" x14ac:dyDescent="0.25">
      <c r="A31" s="139" t="s">
        <v>87</v>
      </c>
      <c r="B31" s="69"/>
      <c r="C31" s="69">
        <v>250</v>
      </c>
      <c r="D31" s="69">
        <v>1500</v>
      </c>
      <c r="E31" s="69">
        <v>250</v>
      </c>
      <c r="F31" s="69"/>
      <c r="G31" s="69"/>
      <c r="H31" s="69"/>
      <c r="I31" s="69"/>
      <c r="J31" s="165"/>
      <c r="K31" s="105"/>
      <c r="L31" s="99"/>
      <c r="M31" s="65">
        <f t="shared" si="0"/>
        <v>2000</v>
      </c>
    </row>
    <row r="32" spans="1:13" s="67" customFormat="1" ht="15" customHeight="1" x14ac:dyDescent="0.25">
      <c r="A32" s="139" t="s">
        <v>88</v>
      </c>
      <c r="B32" s="69">
        <v>1602</v>
      </c>
      <c r="C32" s="69">
        <v>50</v>
      </c>
      <c r="D32" s="69"/>
      <c r="E32" s="69"/>
      <c r="F32" s="69"/>
      <c r="G32" s="69"/>
      <c r="H32" s="69"/>
      <c r="I32" s="69"/>
      <c r="J32" s="166"/>
      <c r="K32" s="106"/>
      <c r="L32" s="101"/>
      <c r="M32" s="65">
        <f t="shared" si="0"/>
        <v>1652</v>
      </c>
    </row>
    <row r="33" spans="1:13" s="67" customFormat="1" ht="15" customHeight="1" x14ac:dyDescent="0.25">
      <c r="A33" s="139" t="s">
        <v>89</v>
      </c>
      <c r="B33" s="69">
        <v>245</v>
      </c>
      <c r="C33" s="69">
        <v>200</v>
      </c>
      <c r="D33" s="69"/>
      <c r="E33" s="69"/>
      <c r="F33" s="69"/>
      <c r="G33" s="69"/>
      <c r="H33" s="69"/>
      <c r="I33" s="69"/>
      <c r="J33" s="166"/>
      <c r="K33" s="106"/>
      <c r="L33" s="101"/>
      <c r="M33" s="65">
        <f t="shared" si="0"/>
        <v>445</v>
      </c>
    </row>
    <row r="34" spans="1:13" s="64" customFormat="1" x14ac:dyDescent="0.25">
      <c r="A34" s="138" t="s">
        <v>90</v>
      </c>
      <c r="B34" s="68"/>
      <c r="C34" s="68"/>
      <c r="D34" s="68"/>
      <c r="E34" s="68"/>
      <c r="F34" s="68"/>
      <c r="G34" s="68"/>
      <c r="H34" s="68"/>
      <c r="I34" s="68"/>
      <c r="J34" s="165"/>
      <c r="K34" s="105"/>
      <c r="L34" s="97"/>
      <c r="M34" s="98"/>
    </row>
    <row r="35" spans="1:13" ht="15" customHeight="1" x14ac:dyDescent="0.25">
      <c r="A35" s="139" t="s">
        <v>91</v>
      </c>
      <c r="B35" s="69">
        <v>153</v>
      </c>
      <c r="C35" s="69"/>
      <c r="D35" s="69"/>
      <c r="E35" s="69"/>
      <c r="F35" s="69"/>
      <c r="G35" s="69"/>
      <c r="H35" s="69"/>
      <c r="I35" s="69"/>
      <c r="J35" s="165"/>
      <c r="K35" s="105"/>
      <c r="L35" s="99"/>
      <c r="M35" s="65">
        <f t="shared" si="0"/>
        <v>153</v>
      </c>
    </row>
    <row r="36" spans="1:13" ht="15" customHeight="1" x14ac:dyDescent="0.25">
      <c r="A36" s="139" t="s">
        <v>92</v>
      </c>
      <c r="B36" s="69">
        <v>1177</v>
      </c>
      <c r="C36" s="69">
        <v>1500</v>
      </c>
      <c r="D36" s="69">
        <v>1500</v>
      </c>
      <c r="E36" s="69">
        <v>1000</v>
      </c>
      <c r="F36" s="69">
        <v>1000</v>
      </c>
      <c r="G36" s="69">
        <v>1000</v>
      </c>
      <c r="H36" s="69">
        <v>1000</v>
      </c>
      <c r="I36" s="69">
        <v>1000</v>
      </c>
      <c r="J36" s="165">
        <v>1000</v>
      </c>
      <c r="K36" s="105"/>
      <c r="L36" s="99"/>
      <c r="M36" s="65">
        <f t="shared" si="0"/>
        <v>10177</v>
      </c>
    </row>
    <row r="37" spans="1:13" ht="15" customHeight="1" x14ac:dyDescent="0.25">
      <c r="A37" s="139" t="s">
        <v>93</v>
      </c>
      <c r="B37" s="69">
        <v>902</v>
      </c>
      <c r="C37" s="69"/>
      <c r="D37" s="69"/>
      <c r="E37" s="69"/>
      <c r="F37" s="69"/>
      <c r="G37" s="69"/>
      <c r="H37" s="69"/>
      <c r="I37" s="69"/>
      <c r="J37" s="165"/>
      <c r="K37" s="105"/>
      <c r="L37" s="99"/>
      <c r="M37" s="65">
        <f t="shared" si="0"/>
        <v>902</v>
      </c>
    </row>
    <row r="38" spans="1:13" s="66" customFormat="1" ht="15" customHeight="1" x14ac:dyDescent="0.25">
      <c r="A38" s="139" t="s">
        <v>94</v>
      </c>
      <c r="B38" s="69">
        <v>427</v>
      </c>
      <c r="C38" s="69">
        <v>200</v>
      </c>
      <c r="D38" s="69">
        <v>200</v>
      </c>
      <c r="E38" s="69">
        <v>200</v>
      </c>
      <c r="F38" s="69">
        <v>200</v>
      </c>
      <c r="G38" s="69">
        <v>200</v>
      </c>
      <c r="H38" s="69">
        <v>200</v>
      </c>
      <c r="I38" s="69">
        <v>200</v>
      </c>
      <c r="J38" s="165">
        <v>200</v>
      </c>
      <c r="K38" s="105"/>
      <c r="L38" s="100"/>
      <c r="M38" s="65">
        <f t="shared" si="0"/>
        <v>2027</v>
      </c>
    </row>
    <row r="39" spans="1:13" ht="15" customHeight="1" x14ac:dyDescent="0.25">
      <c r="A39" s="139" t="s">
        <v>95</v>
      </c>
      <c r="B39" s="69"/>
      <c r="C39" s="69">
        <v>105</v>
      </c>
      <c r="D39" s="69">
        <v>105</v>
      </c>
      <c r="E39" s="69">
        <v>105</v>
      </c>
      <c r="F39" s="69">
        <v>105</v>
      </c>
      <c r="G39" s="69">
        <v>105</v>
      </c>
      <c r="H39" s="69">
        <v>100</v>
      </c>
      <c r="I39" s="69">
        <v>100</v>
      </c>
      <c r="J39" s="165">
        <v>100</v>
      </c>
      <c r="K39" s="105"/>
      <c r="L39" s="99"/>
      <c r="M39" s="65">
        <f t="shared" si="0"/>
        <v>825</v>
      </c>
    </row>
    <row r="40" spans="1:13" s="72" customFormat="1" x14ac:dyDescent="0.25">
      <c r="A40" s="139" t="s">
        <v>96</v>
      </c>
      <c r="B40" s="69"/>
      <c r="C40" s="69"/>
      <c r="D40" s="69"/>
      <c r="E40" s="69"/>
      <c r="F40" s="69">
        <v>250</v>
      </c>
      <c r="G40" s="69">
        <v>1500</v>
      </c>
      <c r="H40" s="69">
        <v>250</v>
      </c>
      <c r="I40" s="69"/>
      <c r="J40" s="165"/>
      <c r="K40" s="105"/>
      <c r="L40" s="103"/>
      <c r="M40" s="65">
        <f t="shared" si="0"/>
        <v>2000</v>
      </c>
    </row>
    <row r="41" spans="1:13" s="64" customFormat="1" x14ac:dyDescent="0.25">
      <c r="A41" s="138" t="s">
        <v>97</v>
      </c>
      <c r="B41" s="68"/>
      <c r="C41" s="68"/>
      <c r="D41" s="68"/>
      <c r="E41" s="68"/>
      <c r="F41" s="68"/>
      <c r="G41" s="68"/>
      <c r="H41" s="68"/>
      <c r="I41" s="68"/>
      <c r="J41" s="165"/>
      <c r="K41" s="105"/>
      <c r="L41" s="97"/>
      <c r="M41" s="98"/>
    </row>
    <row r="42" spans="1:13" s="71" customFormat="1" ht="15" customHeight="1" x14ac:dyDescent="0.25">
      <c r="A42" s="139" t="s">
        <v>192</v>
      </c>
      <c r="B42" s="69">
        <v>1002</v>
      </c>
      <c r="C42" s="69">
        <v>850</v>
      </c>
      <c r="D42" s="69">
        <v>176</v>
      </c>
      <c r="E42" s="69"/>
      <c r="F42" s="69"/>
      <c r="G42" s="69"/>
      <c r="H42" s="69"/>
      <c r="I42" s="69"/>
      <c r="J42" s="167"/>
      <c r="K42" s="107"/>
      <c r="L42" s="102"/>
      <c r="M42" s="65">
        <f t="shared" si="0"/>
        <v>2028</v>
      </c>
    </row>
    <row r="43" spans="1:13" s="72" customFormat="1" x14ac:dyDescent="0.25">
      <c r="A43" s="139" t="s">
        <v>193</v>
      </c>
      <c r="B43" s="69">
        <v>2350</v>
      </c>
      <c r="C43" s="69">
        <v>2350</v>
      </c>
      <c r="D43" s="69">
        <v>242</v>
      </c>
      <c r="E43" s="69"/>
      <c r="F43" s="69"/>
      <c r="G43" s="69"/>
      <c r="H43" s="69"/>
      <c r="I43" s="69"/>
      <c r="J43" s="167"/>
      <c r="K43" s="107"/>
      <c r="L43" s="103"/>
      <c r="M43" s="65">
        <f t="shared" si="0"/>
        <v>4942</v>
      </c>
    </row>
    <row r="44" spans="1:13" s="72" customFormat="1" x14ac:dyDescent="0.25">
      <c r="A44" s="139" t="s">
        <v>194</v>
      </c>
      <c r="B44" s="69">
        <v>1746</v>
      </c>
      <c r="C44" s="69">
        <v>2750</v>
      </c>
      <c r="D44" s="69">
        <v>250</v>
      </c>
      <c r="E44" s="69"/>
      <c r="F44" s="69"/>
      <c r="G44" s="69"/>
      <c r="H44" s="69"/>
      <c r="I44" s="69"/>
      <c r="J44" s="167"/>
      <c r="K44" s="107"/>
      <c r="L44" s="103"/>
      <c r="M44" s="65">
        <f t="shared" si="0"/>
        <v>4746</v>
      </c>
    </row>
    <row r="45" spans="1:13" s="72" customFormat="1" x14ac:dyDescent="0.25">
      <c r="A45" s="139" t="s">
        <v>99</v>
      </c>
      <c r="B45" s="69"/>
      <c r="C45" s="69">
        <v>500</v>
      </c>
      <c r="D45" s="69">
        <v>4500</v>
      </c>
      <c r="E45" s="69">
        <v>4500</v>
      </c>
      <c r="F45" s="69">
        <v>500</v>
      </c>
      <c r="G45" s="69"/>
      <c r="H45" s="69"/>
      <c r="I45" s="69"/>
      <c r="J45" s="167"/>
      <c r="K45" s="107"/>
      <c r="L45" s="103"/>
      <c r="M45" s="65">
        <f t="shared" si="0"/>
        <v>10000</v>
      </c>
    </row>
    <row r="46" spans="1:13" s="72" customFormat="1" x14ac:dyDescent="0.25">
      <c r="A46" s="139" t="s">
        <v>200</v>
      </c>
      <c r="B46" s="69">
        <v>500</v>
      </c>
      <c r="C46" s="69">
        <v>2500</v>
      </c>
      <c r="D46" s="69">
        <f>5500</f>
        <v>5500</v>
      </c>
      <c r="E46" s="69">
        <f>10500</f>
        <v>10500</v>
      </c>
      <c r="F46" s="69">
        <f>10000</f>
        <v>10000</v>
      </c>
      <c r="G46" s="69">
        <f>7000</f>
        <v>7000</v>
      </c>
      <c r="H46" s="69">
        <f>8500</f>
        <v>8500</v>
      </c>
      <c r="I46" s="69">
        <f>3000</f>
        <v>3000</v>
      </c>
      <c r="J46" s="165">
        <f>500</f>
        <v>500</v>
      </c>
      <c r="K46" s="105"/>
      <c r="L46" s="103"/>
      <c r="M46" s="65">
        <f t="shared" si="0"/>
        <v>48000</v>
      </c>
    </row>
    <row r="47" spans="1:13" s="72" customFormat="1" x14ac:dyDescent="0.25">
      <c r="A47" s="139" t="s">
        <v>202</v>
      </c>
      <c r="B47" s="69"/>
      <c r="C47" s="69"/>
      <c r="D47" s="69"/>
      <c r="E47" s="69">
        <v>400</v>
      </c>
      <c r="F47" s="69">
        <v>7100</v>
      </c>
      <c r="G47" s="69">
        <v>14500</v>
      </c>
      <c r="H47" s="69">
        <v>7500</v>
      </c>
      <c r="I47" s="69">
        <v>5000</v>
      </c>
      <c r="J47" s="165">
        <v>5000</v>
      </c>
      <c r="K47" s="105"/>
      <c r="L47" s="103"/>
      <c r="M47" s="65">
        <f t="shared" si="0"/>
        <v>39500</v>
      </c>
    </row>
    <row r="48" spans="1:13" s="72" customFormat="1" x14ac:dyDescent="0.25">
      <c r="A48" s="139" t="s">
        <v>201</v>
      </c>
      <c r="B48" s="69">
        <v>107</v>
      </c>
      <c r="C48" s="69">
        <v>150</v>
      </c>
      <c r="D48" s="69">
        <v>100</v>
      </c>
      <c r="E48" s="69">
        <v>100</v>
      </c>
      <c r="F48" s="69"/>
      <c r="G48" s="69"/>
      <c r="H48" s="69"/>
      <c r="I48" s="69"/>
      <c r="J48" s="165"/>
      <c r="K48" s="105"/>
      <c r="L48" s="103"/>
      <c r="M48" s="65">
        <f t="shared" si="0"/>
        <v>457</v>
      </c>
    </row>
    <row r="49" spans="1:13" s="72" customFormat="1" x14ac:dyDescent="0.25">
      <c r="A49" s="139" t="s">
        <v>196</v>
      </c>
      <c r="B49" s="69">
        <v>751</v>
      </c>
      <c r="C49" s="69">
        <v>1975</v>
      </c>
      <c r="D49" s="69">
        <v>6475</v>
      </c>
      <c r="E49" s="69">
        <v>4000</v>
      </c>
      <c r="F49" s="69">
        <v>9600</v>
      </c>
      <c r="G49" s="69">
        <v>5000</v>
      </c>
      <c r="H49" s="69">
        <v>9750</v>
      </c>
      <c r="I49" s="69">
        <v>5500</v>
      </c>
      <c r="J49" s="165">
        <v>8000</v>
      </c>
      <c r="K49" s="105"/>
      <c r="L49" s="103"/>
      <c r="M49" s="65">
        <f t="shared" si="0"/>
        <v>51051</v>
      </c>
    </row>
    <row r="50" spans="1:13" s="72" customFormat="1" x14ac:dyDescent="0.25">
      <c r="A50" s="139" t="s">
        <v>197</v>
      </c>
      <c r="B50" s="69">
        <v>789</v>
      </c>
      <c r="C50" s="69">
        <v>1000</v>
      </c>
      <c r="D50" s="69">
        <f>1750+450</f>
        <v>2200</v>
      </c>
      <c r="E50" s="69">
        <f>1000+450</f>
        <v>1450</v>
      </c>
      <c r="F50" s="69">
        <f>2000+450</f>
        <v>2450</v>
      </c>
      <c r="G50" s="69">
        <f>1000+450</f>
        <v>1450</v>
      </c>
      <c r="H50" s="69">
        <f>2250+450</f>
        <v>2700</v>
      </c>
      <c r="I50" s="69">
        <f>1000+450</f>
        <v>1450</v>
      </c>
      <c r="J50" s="165">
        <v>1450</v>
      </c>
      <c r="K50" s="105"/>
      <c r="L50" s="103"/>
      <c r="M50" s="65">
        <f t="shared" si="0"/>
        <v>14939</v>
      </c>
    </row>
    <row r="51" spans="1:13" s="71" customFormat="1" ht="15" customHeight="1" x14ac:dyDescent="0.25">
      <c r="A51" s="139" t="s">
        <v>198</v>
      </c>
      <c r="B51" s="69">
        <v>1283</v>
      </c>
      <c r="C51" s="69">
        <v>1000</v>
      </c>
      <c r="D51" s="69"/>
      <c r="E51" s="69"/>
      <c r="F51" s="69"/>
      <c r="G51" s="69"/>
      <c r="H51" s="69"/>
      <c r="I51" s="69"/>
      <c r="J51" s="167"/>
      <c r="K51" s="107"/>
      <c r="L51" s="102"/>
      <c r="M51" s="65">
        <f t="shared" ref="M51:M52" si="2">SUM(B51:L51)</f>
        <v>2283</v>
      </c>
    </row>
    <row r="52" spans="1:13" s="67" customFormat="1" ht="15" customHeight="1" thickBot="1" x14ac:dyDescent="0.3">
      <c r="A52" s="139" t="s">
        <v>199</v>
      </c>
      <c r="B52" s="69">
        <v>33</v>
      </c>
      <c r="C52" s="69"/>
      <c r="D52" s="69"/>
      <c r="E52" s="69"/>
      <c r="F52" s="69"/>
      <c r="G52" s="69"/>
      <c r="H52" s="69"/>
      <c r="I52" s="69"/>
      <c r="J52" s="166"/>
      <c r="K52" s="106"/>
      <c r="L52" s="101"/>
      <c r="M52" s="65">
        <f t="shared" si="2"/>
        <v>33</v>
      </c>
    </row>
    <row r="53" spans="1:13" s="66" customFormat="1" ht="13.8" thickBot="1" x14ac:dyDescent="0.3">
      <c r="A53" s="73" t="s">
        <v>244</v>
      </c>
      <c r="B53" s="74">
        <f t="shared" ref="B53:K53" si="3">SUM(B6:B52)</f>
        <v>67658</v>
      </c>
      <c r="C53" s="74">
        <f t="shared" si="3"/>
        <v>45055</v>
      </c>
      <c r="D53" s="74">
        <f t="shared" si="3"/>
        <v>58085</v>
      </c>
      <c r="E53" s="74">
        <f t="shared" si="3"/>
        <v>45205</v>
      </c>
      <c r="F53" s="74">
        <f t="shared" si="3"/>
        <v>38505</v>
      </c>
      <c r="G53" s="74">
        <f t="shared" si="3"/>
        <v>34055</v>
      </c>
      <c r="H53" s="74">
        <f t="shared" si="3"/>
        <v>31250</v>
      </c>
      <c r="I53" s="74">
        <f t="shared" si="3"/>
        <v>16750</v>
      </c>
      <c r="J53" s="168">
        <f t="shared" si="3"/>
        <v>16750</v>
      </c>
      <c r="K53" s="168">
        <f t="shared" si="3"/>
        <v>0</v>
      </c>
      <c r="L53" s="100"/>
      <c r="M53" s="75">
        <f>SUM(M6:M52)</f>
        <v>353313</v>
      </c>
    </row>
    <row r="55" spans="1:13" s="77" customFormat="1" ht="15.6" customHeight="1" x14ac:dyDescent="0.3">
      <c r="A55" s="76" t="s">
        <v>238</v>
      </c>
      <c r="B55" s="132"/>
      <c r="C55" s="78"/>
      <c r="D55" s="78"/>
      <c r="E55" s="78"/>
      <c r="F55" s="78"/>
      <c r="G55" s="78"/>
      <c r="H55" s="78"/>
      <c r="I55" s="78"/>
      <c r="L55" s="59"/>
      <c r="M55" s="131"/>
    </row>
    <row r="56" spans="1:13" s="82" customFormat="1" ht="16.2" customHeight="1" thickBot="1" x14ac:dyDescent="0.3">
      <c r="A56" s="80"/>
      <c r="B56" s="133"/>
      <c r="C56" s="87"/>
      <c r="D56" s="87"/>
      <c r="E56" s="87"/>
      <c r="F56" s="87"/>
      <c r="G56" s="87"/>
      <c r="H56" s="87"/>
      <c r="I56" s="87"/>
      <c r="L56" s="59"/>
      <c r="M56" s="55"/>
    </row>
    <row r="57" spans="1:13" s="83" customFormat="1" ht="64.95" customHeight="1" x14ac:dyDescent="0.25">
      <c r="A57" s="154" t="s">
        <v>100</v>
      </c>
      <c r="B57" s="155" t="s">
        <v>59</v>
      </c>
      <c r="C57" s="155" t="s">
        <v>225</v>
      </c>
      <c r="D57" s="155" t="s">
        <v>226</v>
      </c>
      <c r="E57" s="155" t="s">
        <v>227</v>
      </c>
      <c r="F57" s="155" t="s">
        <v>228</v>
      </c>
      <c r="G57" s="155" t="s">
        <v>229</v>
      </c>
      <c r="H57" s="155" t="s">
        <v>230</v>
      </c>
      <c r="I57" s="155" t="s">
        <v>231</v>
      </c>
      <c r="J57" s="163" t="s">
        <v>232</v>
      </c>
      <c r="K57" s="156" t="s">
        <v>236</v>
      </c>
      <c r="L57" s="96"/>
      <c r="M57" s="157" t="s">
        <v>239</v>
      </c>
    </row>
    <row r="58" spans="1:13" s="83" customFormat="1" ht="13.95" customHeight="1" x14ac:dyDescent="0.25">
      <c r="A58" s="141"/>
      <c r="B58" s="62" t="s">
        <v>58</v>
      </c>
      <c r="C58" s="62" t="s">
        <v>58</v>
      </c>
      <c r="D58" s="62" t="s">
        <v>58</v>
      </c>
      <c r="E58" s="62" t="s">
        <v>58</v>
      </c>
      <c r="F58" s="62" t="s">
        <v>58</v>
      </c>
      <c r="G58" s="62" t="s">
        <v>58</v>
      </c>
      <c r="H58" s="62" t="s">
        <v>58</v>
      </c>
      <c r="I58" s="62" t="s">
        <v>58</v>
      </c>
      <c r="J58" s="164" t="s">
        <v>58</v>
      </c>
      <c r="K58" s="104" t="s">
        <v>58</v>
      </c>
      <c r="L58" s="96"/>
      <c r="M58" s="63" t="s">
        <v>58</v>
      </c>
    </row>
    <row r="59" spans="1:13" s="70" customFormat="1" x14ac:dyDescent="0.25">
      <c r="A59" s="139" t="s">
        <v>101</v>
      </c>
      <c r="B59" s="69">
        <v>6</v>
      </c>
      <c r="C59" s="69"/>
      <c r="D59" s="69"/>
      <c r="E59" s="69"/>
      <c r="F59" s="69"/>
      <c r="G59" s="69"/>
      <c r="H59" s="69"/>
      <c r="I59" s="69"/>
      <c r="J59" s="169"/>
      <c r="K59" s="112"/>
      <c r="L59" s="99"/>
      <c r="M59" s="65">
        <f t="shared" ref="M59:M64" si="4">SUM(B59:L59)</f>
        <v>6</v>
      </c>
    </row>
    <row r="60" spans="1:13" s="70" customFormat="1" x14ac:dyDescent="0.25">
      <c r="A60" s="139" t="s">
        <v>102</v>
      </c>
      <c r="B60" s="69">
        <v>66</v>
      </c>
      <c r="C60" s="69"/>
      <c r="D60" s="69"/>
      <c r="E60" s="69"/>
      <c r="F60" s="69"/>
      <c r="G60" s="69"/>
      <c r="H60" s="69"/>
      <c r="I60" s="69"/>
      <c r="J60" s="169"/>
      <c r="K60" s="112"/>
      <c r="L60" s="100"/>
      <c r="M60" s="65">
        <f t="shared" si="4"/>
        <v>66</v>
      </c>
    </row>
    <row r="61" spans="1:13" s="70" customFormat="1" x14ac:dyDescent="0.25">
      <c r="A61" s="143" t="s">
        <v>103</v>
      </c>
      <c r="B61" s="69">
        <v>1</v>
      </c>
      <c r="C61" s="69"/>
      <c r="D61" s="69"/>
      <c r="E61" s="69"/>
      <c r="F61" s="69"/>
      <c r="G61" s="69"/>
      <c r="H61" s="69"/>
      <c r="I61" s="69"/>
      <c r="J61" s="169"/>
      <c r="K61" s="112"/>
      <c r="L61" s="101"/>
      <c r="M61" s="65">
        <f t="shared" si="4"/>
        <v>1</v>
      </c>
    </row>
    <row r="62" spans="1:13" s="70" customFormat="1" x14ac:dyDescent="0.25">
      <c r="A62" s="143" t="s">
        <v>207</v>
      </c>
      <c r="B62" s="69">
        <v>50</v>
      </c>
      <c r="C62" s="69"/>
      <c r="D62" s="69"/>
      <c r="E62" s="69"/>
      <c r="F62" s="69"/>
      <c r="G62" s="69"/>
      <c r="H62" s="69"/>
      <c r="I62" s="69"/>
      <c r="J62" s="169"/>
      <c r="K62" s="112"/>
      <c r="L62" s="101"/>
      <c r="M62" s="65">
        <f t="shared" si="4"/>
        <v>50</v>
      </c>
    </row>
    <row r="63" spans="1:13" s="70" customFormat="1" x14ac:dyDescent="0.25">
      <c r="A63" s="143" t="s">
        <v>208</v>
      </c>
      <c r="B63" s="69">
        <v>281</v>
      </c>
      <c r="C63" s="69"/>
      <c r="D63" s="69"/>
      <c r="E63" s="69"/>
      <c r="F63" s="69"/>
      <c r="G63" s="69"/>
      <c r="H63" s="69"/>
      <c r="I63" s="69"/>
      <c r="J63" s="169"/>
      <c r="K63" s="112"/>
      <c r="L63" s="101"/>
      <c r="M63" s="65">
        <f t="shared" si="4"/>
        <v>281</v>
      </c>
    </row>
    <row r="64" spans="1:13" s="70" customFormat="1" x14ac:dyDescent="0.25">
      <c r="A64" s="143" t="s">
        <v>206</v>
      </c>
      <c r="B64" s="69">
        <v>200</v>
      </c>
      <c r="C64" s="69"/>
      <c r="D64" s="69"/>
      <c r="E64" s="69"/>
      <c r="F64" s="69"/>
      <c r="G64" s="69"/>
      <c r="H64" s="69"/>
      <c r="I64" s="69"/>
      <c r="J64" s="169"/>
      <c r="K64" s="112"/>
      <c r="L64" s="101"/>
      <c r="M64" s="65">
        <f t="shared" si="4"/>
        <v>200</v>
      </c>
    </row>
    <row r="65" spans="1:13" s="70" customFormat="1" ht="13.8" thickBot="1" x14ac:dyDescent="0.3">
      <c r="A65" s="144"/>
      <c r="B65" s="145"/>
      <c r="C65" s="145"/>
      <c r="D65" s="145"/>
      <c r="E65" s="145"/>
      <c r="F65" s="145"/>
      <c r="G65" s="145"/>
      <c r="H65" s="145"/>
      <c r="I65" s="145"/>
      <c r="J65" s="173"/>
      <c r="K65" s="146"/>
      <c r="L65" s="101"/>
      <c r="M65" s="147"/>
    </row>
    <row r="66" spans="1:13" s="86" customFormat="1" ht="15" customHeight="1" thickBot="1" x14ac:dyDescent="0.3">
      <c r="A66" s="73" t="s">
        <v>244</v>
      </c>
      <c r="B66" s="84">
        <f t="shared" ref="B66:K66" si="5">SUM(B59:B64)</f>
        <v>604</v>
      </c>
      <c r="C66" s="84">
        <f t="shared" si="5"/>
        <v>0</v>
      </c>
      <c r="D66" s="84">
        <f t="shared" si="5"/>
        <v>0</v>
      </c>
      <c r="E66" s="84">
        <f t="shared" si="5"/>
        <v>0</v>
      </c>
      <c r="F66" s="84">
        <f t="shared" si="5"/>
        <v>0</v>
      </c>
      <c r="G66" s="84">
        <f t="shared" si="5"/>
        <v>0</v>
      </c>
      <c r="H66" s="84">
        <f t="shared" si="5"/>
        <v>0</v>
      </c>
      <c r="I66" s="84">
        <f t="shared" si="5"/>
        <v>0</v>
      </c>
      <c r="J66" s="172">
        <f t="shared" si="5"/>
        <v>0</v>
      </c>
      <c r="K66" s="85">
        <f t="shared" si="5"/>
        <v>0</v>
      </c>
      <c r="L66" s="101"/>
      <c r="M66" s="109">
        <f>SUM(M59:M64)</f>
        <v>604</v>
      </c>
    </row>
    <row r="67" spans="1:13" s="77" customFormat="1" ht="16.2" customHeight="1" x14ac:dyDescent="0.25">
      <c r="B67" s="78"/>
      <c r="C67" s="78"/>
      <c r="D67" s="78"/>
      <c r="E67" s="78"/>
      <c r="F67" s="78"/>
      <c r="G67" s="78"/>
      <c r="H67" s="78"/>
      <c r="I67" s="78"/>
      <c r="J67" s="178"/>
      <c r="K67" s="178"/>
      <c r="L67" s="178"/>
      <c r="M67" s="178"/>
    </row>
    <row r="68" spans="1:13" s="77" customFormat="1" ht="15" customHeight="1" x14ac:dyDescent="0.3">
      <c r="A68" s="76" t="s">
        <v>209</v>
      </c>
      <c r="B68" s="132"/>
      <c r="C68" s="78"/>
      <c r="D68" s="78"/>
      <c r="E68" s="78"/>
      <c r="F68" s="78"/>
      <c r="G68" s="78"/>
      <c r="H68" s="78"/>
      <c r="I68" s="78"/>
      <c r="J68" s="178"/>
      <c r="K68" s="178"/>
      <c r="L68" s="178"/>
      <c r="M68" s="178"/>
    </row>
    <row r="69" spans="1:13" s="82" customFormat="1" ht="16.2" customHeight="1" thickBot="1" x14ac:dyDescent="0.3">
      <c r="A69" s="80"/>
      <c r="B69" s="133"/>
      <c r="C69" s="81"/>
      <c r="D69" s="81"/>
      <c r="E69" s="81"/>
      <c r="F69" s="81"/>
      <c r="G69" s="81"/>
      <c r="H69" s="81"/>
      <c r="I69" s="81"/>
      <c r="L69" s="59"/>
      <c r="M69" s="55"/>
    </row>
    <row r="70" spans="1:13" s="83" customFormat="1" ht="64.95" customHeight="1" x14ac:dyDescent="0.25">
      <c r="A70" s="154" t="s">
        <v>100</v>
      </c>
      <c r="B70" s="155" t="s">
        <v>59</v>
      </c>
      <c r="C70" s="155" t="s">
        <v>225</v>
      </c>
      <c r="D70" s="155" t="s">
        <v>226</v>
      </c>
      <c r="E70" s="155" t="s">
        <v>227</v>
      </c>
      <c r="F70" s="155" t="s">
        <v>228</v>
      </c>
      <c r="G70" s="155" t="s">
        <v>229</v>
      </c>
      <c r="H70" s="155" t="s">
        <v>230</v>
      </c>
      <c r="I70" s="155" t="s">
        <v>231</v>
      </c>
      <c r="J70" s="163" t="s">
        <v>232</v>
      </c>
      <c r="K70" s="156" t="s">
        <v>236</v>
      </c>
      <c r="L70" s="96"/>
      <c r="M70" s="157" t="s">
        <v>239</v>
      </c>
    </row>
    <row r="71" spans="1:13" s="83" customFormat="1" ht="13.95" customHeight="1" x14ac:dyDescent="0.25">
      <c r="A71" s="141"/>
      <c r="B71" s="62" t="s">
        <v>58</v>
      </c>
      <c r="C71" s="62" t="s">
        <v>58</v>
      </c>
      <c r="D71" s="62" t="s">
        <v>58</v>
      </c>
      <c r="E71" s="62" t="s">
        <v>58</v>
      </c>
      <c r="F71" s="62" t="s">
        <v>58</v>
      </c>
      <c r="G71" s="62" t="s">
        <v>58</v>
      </c>
      <c r="H71" s="62" t="s">
        <v>58</v>
      </c>
      <c r="I71" s="62" t="s">
        <v>58</v>
      </c>
      <c r="J71" s="164" t="s">
        <v>58</v>
      </c>
      <c r="K71" s="104" t="s">
        <v>58</v>
      </c>
      <c r="L71" s="96"/>
      <c r="M71" s="63" t="s">
        <v>58</v>
      </c>
    </row>
    <row r="72" spans="1:13" s="70" customFormat="1" x14ac:dyDescent="0.25">
      <c r="A72" s="139" t="s">
        <v>104</v>
      </c>
      <c r="B72" s="69">
        <v>36</v>
      </c>
      <c r="C72" s="69"/>
      <c r="D72" s="69"/>
      <c r="E72" s="69"/>
      <c r="F72" s="69"/>
      <c r="G72" s="69"/>
      <c r="H72" s="69"/>
      <c r="I72" s="69"/>
      <c r="J72" s="169"/>
      <c r="K72" s="112"/>
      <c r="M72" s="65">
        <f t="shared" ref="M72:M76" si="6">SUM(B72:L72)</f>
        <v>36</v>
      </c>
    </row>
    <row r="73" spans="1:13" s="66" customFormat="1" x14ac:dyDescent="0.25">
      <c r="A73" s="139" t="s">
        <v>105</v>
      </c>
      <c r="B73" s="69">
        <v>42</v>
      </c>
      <c r="C73" s="69"/>
      <c r="D73" s="69"/>
      <c r="E73" s="69"/>
      <c r="F73" s="69"/>
      <c r="G73" s="69"/>
      <c r="H73" s="69"/>
      <c r="I73" s="69"/>
      <c r="J73" s="170"/>
      <c r="K73" s="113"/>
      <c r="M73" s="65">
        <f t="shared" si="6"/>
        <v>42</v>
      </c>
    </row>
    <row r="74" spans="1:13" s="66" customFormat="1" x14ac:dyDescent="0.25">
      <c r="A74" s="139" t="s">
        <v>106</v>
      </c>
      <c r="B74" s="69">
        <v>851</v>
      </c>
      <c r="C74" s="69"/>
      <c r="D74" s="69"/>
      <c r="E74" s="69"/>
      <c r="F74" s="69"/>
      <c r="G74" s="69"/>
      <c r="H74" s="69"/>
      <c r="I74" s="69"/>
      <c r="J74" s="170"/>
      <c r="K74" s="113"/>
      <c r="M74" s="65">
        <f t="shared" si="6"/>
        <v>851</v>
      </c>
    </row>
    <row r="75" spans="1:13" s="66" customFormat="1" x14ac:dyDescent="0.25">
      <c r="A75" s="139" t="s">
        <v>107</v>
      </c>
      <c r="B75" s="69">
        <v>800</v>
      </c>
      <c r="C75" s="69">
        <v>5000</v>
      </c>
      <c r="D75" s="69">
        <v>4200</v>
      </c>
      <c r="E75" s="69"/>
      <c r="F75" s="69"/>
      <c r="G75" s="69"/>
      <c r="H75" s="69"/>
      <c r="I75" s="69"/>
      <c r="J75" s="170"/>
      <c r="K75" s="113"/>
      <c r="M75" s="65">
        <f t="shared" si="6"/>
        <v>10000</v>
      </c>
    </row>
    <row r="76" spans="1:13" s="66" customFormat="1" x14ac:dyDescent="0.25">
      <c r="A76" s="139" t="s">
        <v>108</v>
      </c>
      <c r="B76" s="69">
        <v>4800</v>
      </c>
      <c r="C76" s="69">
        <v>4800</v>
      </c>
      <c r="D76" s="69">
        <v>2600</v>
      </c>
      <c r="E76" s="69"/>
      <c r="F76" s="69"/>
      <c r="G76" s="69"/>
      <c r="H76" s="69"/>
      <c r="I76" s="69"/>
      <c r="J76" s="170"/>
      <c r="K76" s="113"/>
      <c r="M76" s="65">
        <f t="shared" si="6"/>
        <v>12200</v>
      </c>
    </row>
    <row r="77" spans="1:13" s="66" customFormat="1" ht="13.8" thickBot="1" x14ac:dyDescent="0.3">
      <c r="A77" s="144"/>
      <c r="B77" s="145"/>
      <c r="C77" s="145"/>
      <c r="D77" s="145"/>
      <c r="E77" s="145"/>
      <c r="F77" s="145"/>
      <c r="G77" s="145"/>
      <c r="H77" s="145"/>
      <c r="I77" s="145"/>
      <c r="J77" s="171"/>
      <c r="K77" s="148"/>
      <c r="M77" s="147"/>
    </row>
    <row r="78" spans="1:13" s="178" customFormat="1" ht="15" customHeight="1" thickBot="1" x14ac:dyDescent="0.3">
      <c r="A78" s="73" t="s">
        <v>244</v>
      </c>
      <c r="B78" s="84">
        <f t="shared" ref="B78:K78" si="7">SUM(B72:B76)</f>
        <v>6529</v>
      </c>
      <c r="C78" s="84">
        <f t="shared" si="7"/>
        <v>9800</v>
      </c>
      <c r="D78" s="84">
        <f t="shared" si="7"/>
        <v>6800</v>
      </c>
      <c r="E78" s="84">
        <f t="shared" si="7"/>
        <v>0</v>
      </c>
      <c r="F78" s="84">
        <f t="shared" si="7"/>
        <v>0</v>
      </c>
      <c r="G78" s="84">
        <f t="shared" si="7"/>
        <v>0</v>
      </c>
      <c r="H78" s="84">
        <f t="shared" si="7"/>
        <v>0</v>
      </c>
      <c r="I78" s="84">
        <f t="shared" si="7"/>
        <v>0</v>
      </c>
      <c r="J78" s="172">
        <f t="shared" si="7"/>
        <v>0</v>
      </c>
      <c r="K78" s="85">
        <f t="shared" si="7"/>
        <v>0</v>
      </c>
      <c r="M78" s="109">
        <f>SUM(M72:M76)</f>
        <v>23129</v>
      </c>
    </row>
    <row r="80" spans="1:13" s="77" customFormat="1" ht="15.6" customHeight="1" x14ac:dyDescent="0.3">
      <c r="A80" s="76" t="s">
        <v>240</v>
      </c>
      <c r="B80" s="132"/>
      <c r="C80" s="78"/>
      <c r="D80" s="78"/>
      <c r="E80" s="78"/>
      <c r="F80" s="78"/>
      <c r="G80" s="78"/>
      <c r="H80" s="78"/>
      <c r="I80" s="78"/>
      <c r="J80" s="79"/>
      <c r="K80" s="79"/>
      <c r="M80" s="131"/>
    </row>
    <row r="81" spans="1:14" s="82" customFormat="1" ht="15" customHeight="1" thickBot="1" x14ac:dyDescent="0.3">
      <c r="A81" s="80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77"/>
      <c r="M81" s="78"/>
    </row>
    <row r="82" spans="1:14" s="83" customFormat="1" ht="64.95" customHeight="1" x14ac:dyDescent="0.25">
      <c r="A82" s="159" t="s">
        <v>100</v>
      </c>
      <c r="B82" s="155" t="s">
        <v>59</v>
      </c>
      <c r="C82" s="155" t="s">
        <v>225</v>
      </c>
      <c r="D82" s="155" t="s">
        <v>226</v>
      </c>
      <c r="E82" s="155" t="s">
        <v>227</v>
      </c>
      <c r="F82" s="155" t="s">
        <v>228</v>
      </c>
      <c r="G82" s="155" t="s">
        <v>229</v>
      </c>
      <c r="H82" s="155" t="s">
        <v>230</v>
      </c>
      <c r="I82" s="155" t="s">
        <v>231</v>
      </c>
      <c r="J82" s="163" t="s">
        <v>232</v>
      </c>
      <c r="K82" s="156" t="s">
        <v>236</v>
      </c>
      <c r="L82" s="96"/>
      <c r="M82" s="157" t="s">
        <v>239</v>
      </c>
    </row>
    <row r="83" spans="1:14" s="83" customFormat="1" ht="17.25" customHeight="1" x14ac:dyDescent="0.25">
      <c r="A83" s="149"/>
      <c r="B83" s="62" t="s">
        <v>58</v>
      </c>
      <c r="C83" s="62" t="s">
        <v>58</v>
      </c>
      <c r="D83" s="62" t="s">
        <v>58</v>
      </c>
      <c r="E83" s="62" t="s">
        <v>58</v>
      </c>
      <c r="F83" s="62" t="s">
        <v>58</v>
      </c>
      <c r="G83" s="62" t="s">
        <v>58</v>
      </c>
      <c r="H83" s="62" t="s">
        <v>58</v>
      </c>
      <c r="I83" s="62" t="s">
        <v>58</v>
      </c>
      <c r="J83" s="164" t="s">
        <v>58</v>
      </c>
      <c r="K83" s="104" t="s">
        <v>58</v>
      </c>
      <c r="L83" s="114"/>
      <c r="M83" s="63" t="s">
        <v>58</v>
      </c>
    </row>
    <row r="84" spans="1:14" s="79" customFormat="1" ht="17.25" customHeight="1" x14ac:dyDescent="0.25">
      <c r="A84" s="88" t="s">
        <v>109</v>
      </c>
      <c r="B84" s="69"/>
      <c r="C84" s="69"/>
      <c r="D84" s="69"/>
      <c r="E84" s="69"/>
      <c r="F84" s="69"/>
      <c r="G84" s="69"/>
      <c r="H84" s="69"/>
      <c r="I84" s="69"/>
      <c r="J84" s="165"/>
      <c r="K84" s="105"/>
      <c r="L84" s="115"/>
      <c r="M84" s="65"/>
    </row>
    <row r="85" spans="1:14" s="77" customFormat="1" x14ac:dyDescent="0.25">
      <c r="A85" s="150" t="s">
        <v>110</v>
      </c>
      <c r="B85" s="69">
        <v>2841</v>
      </c>
      <c r="C85" s="69">
        <f>4500+2700</f>
        <v>7200</v>
      </c>
      <c r="D85" s="69">
        <f t="shared" ref="D85:J85" si="8">4500+2700</f>
        <v>7200</v>
      </c>
      <c r="E85" s="69">
        <f t="shared" si="8"/>
        <v>7200</v>
      </c>
      <c r="F85" s="69">
        <f t="shared" si="8"/>
        <v>7200</v>
      </c>
      <c r="G85" s="69">
        <f t="shared" si="8"/>
        <v>7200</v>
      </c>
      <c r="H85" s="69">
        <f t="shared" si="8"/>
        <v>7200</v>
      </c>
      <c r="I85" s="69">
        <f t="shared" si="8"/>
        <v>7200</v>
      </c>
      <c r="J85" s="69">
        <f t="shared" si="8"/>
        <v>7200</v>
      </c>
      <c r="K85" s="105">
        <v>2920</v>
      </c>
      <c r="L85" s="116"/>
      <c r="M85" s="65">
        <f>SUM(B85:L85)</f>
        <v>63361</v>
      </c>
      <c r="N85" s="179"/>
    </row>
    <row r="86" spans="1:14" s="89" customFormat="1" x14ac:dyDescent="0.25">
      <c r="A86" s="151" t="s">
        <v>111</v>
      </c>
      <c r="B86" s="69">
        <v>1687</v>
      </c>
      <c r="C86" s="69"/>
      <c r="D86" s="69"/>
      <c r="E86" s="69"/>
      <c r="F86" s="69"/>
      <c r="G86" s="69"/>
      <c r="H86" s="69"/>
      <c r="I86" s="69"/>
      <c r="J86" s="165"/>
      <c r="K86" s="105"/>
      <c r="L86" s="116"/>
      <c r="M86" s="65">
        <f t="shared" ref="M86:M89" si="9">SUM(B86:L86)</f>
        <v>1687</v>
      </c>
      <c r="N86" s="179"/>
    </row>
    <row r="87" spans="1:14" s="89" customFormat="1" x14ac:dyDescent="0.25">
      <c r="A87" s="151" t="s">
        <v>112</v>
      </c>
      <c r="B87" s="69">
        <v>489</v>
      </c>
      <c r="C87" s="69"/>
      <c r="D87" s="69"/>
      <c r="E87" s="69"/>
      <c r="F87" s="69"/>
      <c r="G87" s="69"/>
      <c r="H87" s="69"/>
      <c r="I87" s="69"/>
      <c r="J87" s="165"/>
      <c r="K87" s="105"/>
      <c r="L87" s="117"/>
      <c r="M87" s="65">
        <f t="shared" si="9"/>
        <v>489</v>
      </c>
      <c r="N87" s="179"/>
    </row>
    <row r="88" spans="1:14" s="89" customFormat="1" x14ac:dyDescent="0.25">
      <c r="A88" s="151" t="s">
        <v>113</v>
      </c>
      <c r="B88" s="69">
        <v>165</v>
      </c>
      <c r="C88" s="69"/>
      <c r="D88" s="69"/>
      <c r="E88" s="69"/>
      <c r="F88" s="69"/>
      <c r="G88" s="69"/>
      <c r="H88" s="69"/>
      <c r="I88" s="69"/>
      <c r="J88" s="165"/>
      <c r="K88" s="105"/>
      <c r="L88" s="118"/>
      <c r="M88" s="65">
        <f t="shared" si="9"/>
        <v>165</v>
      </c>
      <c r="N88" s="179"/>
    </row>
    <row r="89" spans="1:14" s="89" customFormat="1" x14ac:dyDescent="0.25">
      <c r="A89" s="151" t="s">
        <v>114</v>
      </c>
      <c r="B89" s="69">
        <v>46</v>
      </c>
      <c r="C89" s="69"/>
      <c r="D89" s="69"/>
      <c r="E89" s="69"/>
      <c r="F89" s="69"/>
      <c r="G89" s="69"/>
      <c r="H89" s="69"/>
      <c r="I89" s="69"/>
      <c r="J89" s="165"/>
      <c r="K89" s="105"/>
      <c r="L89" s="118"/>
      <c r="M89" s="65">
        <f t="shared" si="9"/>
        <v>46</v>
      </c>
      <c r="N89" s="179"/>
    </row>
    <row r="90" spans="1:14" s="79" customFormat="1" x14ac:dyDescent="0.25">
      <c r="A90" s="88" t="s">
        <v>115</v>
      </c>
      <c r="B90" s="69"/>
      <c r="C90" s="69"/>
      <c r="D90" s="69"/>
      <c r="E90" s="69"/>
      <c r="F90" s="69"/>
      <c r="G90" s="69"/>
      <c r="H90" s="69"/>
      <c r="I90" s="69"/>
      <c r="J90" s="165"/>
      <c r="K90" s="105"/>
      <c r="L90" s="118"/>
      <c r="M90" s="65"/>
      <c r="N90" s="179"/>
    </row>
    <row r="91" spans="1:14" s="77" customFormat="1" x14ac:dyDescent="0.25">
      <c r="A91" s="151" t="s">
        <v>116</v>
      </c>
      <c r="B91" s="69">
        <v>548</v>
      </c>
      <c r="C91" s="69">
        <v>350</v>
      </c>
      <c r="D91" s="69">
        <v>350</v>
      </c>
      <c r="E91" s="69">
        <v>350</v>
      </c>
      <c r="F91" s="69">
        <v>350</v>
      </c>
      <c r="G91" s="69">
        <v>350</v>
      </c>
      <c r="H91" s="69">
        <v>350</v>
      </c>
      <c r="I91" s="69">
        <v>350</v>
      </c>
      <c r="J91" s="165">
        <v>350</v>
      </c>
      <c r="K91" s="105"/>
      <c r="L91" s="118"/>
      <c r="M91" s="65">
        <f t="shared" ref="M91:M93" si="10">SUM(B91:L91)</f>
        <v>3348</v>
      </c>
      <c r="N91" s="179"/>
    </row>
    <row r="92" spans="1:14" s="77" customFormat="1" x14ac:dyDescent="0.25">
      <c r="A92" s="151" t="s">
        <v>117</v>
      </c>
      <c r="B92" s="69">
        <v>142</v>
      </c>
      <c r="C92" s="69">
        <v>50</v>
      </c>
      <c r="D92" s="69">
        <v>50</v>
      </c>
      <c r="E92" s="69">
        <v>50</v>
      </c>
      <c r="F92" s="69">
        <v>50</v>
      </c>
      <c r="G92" s="69">
        <v>50</v>
      </c>
      <c r="H92" s="69">
        <v>50</v>
      </c>
      <c r="I92" s="69">
        <v>50</v>
      </c>
      <c r="J92" s="165"/>
      <c r="K92" s="105"/>
      <c r="L92" s="117"/>
      <c r="M92" s="65">
        <f t="shared" si="10"/>
        <v>492</v>
      </c>
      <c r="N92" s="179"/>
    </row>
    <row r="93" spans="1:14" s="77" customFormat="1" x14ac:dyDescent="0.25">
      <c r="A93" s="151" t="s">
        <v>118</v>
      </c>
      <c r="B93" s="69">
        <v>232</v>
      </c>
      <c r="C93" s="69">
        <v>150</v>
      </c>
      <c r="D93" s="69">
        <v>150</v>
      </c>
      <c r="E93" s="69">
        <v>50</v>
      </c>
      <c r="F93" s="69">
        <v>50</v>
      </c>
      <c r="G93" s="69">
        <v>50</v>
      </c>
      <c r="H93" s="69">
        <v>50</v>
      </c>
      <c r="I93" s="69">
        <v>50</v>
      </c>
      <c r="J93" s="165"/>
      <c r="K93" s="105"/>
      <c r="L93" s="117"/>
      <c r="M93" s="65">
        <f t="shared" si="10"/>
        <v>782</v>
      </c>
      <c r="N93" s="179"/>
    </row>
    <row r="94" spans="1:14" s="79" customFormat="1" x14ac:dyDescent="0.25">
      <c r="A94" s="88" t="s">
        <v>119</v>
      </c>
      <c r="B94" s="69"/>
      <c r="C94" s="69"/>
      <c r="D94" s="69"/>
      <c r="E94" s="69"/>
      <c r="F94" s="69"/>
      <c r="G94" s="69"/>
      <c r="H94" s="69"/>
      <c r="I94" s="69"/>
      <c r="J94" s="165"/>
      <c r="K94" s="105"/>
      <c r="L94" s="116"/>
      <c r="M94" s="65"/>
      <c r="N94" s="179"/>
    </row>
    <row r="95" spans="1:14" s="77" customFormat="1" x14ac:dyDescent="0.25">
      <c r="A95" s="151" t="s">
        <v>119</v>
      </c>
      <c r="B95" s="69">
        <v>588</v>
      </c>
      <c r="C95" s="69">
        <v>500</v>
      </c>
      <c r="D95" s="69">
        <v>500</v>
      </c>
      <c r="E95" s="69">
        <v>500</v>
      </c>
      <c r="F95" s="69">
        <v>500</v>
      </c>
      <c r="G95" s="69">
        <v>500</v>
      </c>
      <c r="H95" s="69">
        <v>500</v>
      </c>
      <c r="I95" s="69">
        <v>500</v>
      </c>
      <c r="J95" s="165">
        <v>500</v>
      </c>
      <c r="K95" s="105"/>
      <c r="L95" s="115"/>
      <c r="M95" s="65">
        <f t="shared" ref="M95" si="11">SUM(B95:L95)</f>
        <v>4588</v>
      </c>
      <c r="N95" s="179"/>
    </row>
    <row r="96" spans="1:14" s="79" customFormat="1" x14ac:dyDescent="0.25">
      <c r="A96" s="88" t="s">
        <v>120</v>
      </c>
      <c r="B96" s="69"/>
      <c r="C96" s="69"/>
      <c r="D96" s="69"/>
      <c r="E96" s="69"/>
      <c r="F96" s="69"/>
      <c r="G96" s="69"/>
      <c r="H96" s="69"/>
      <c r="I96" s="69"/>
      <c r="J96" s="165"/>
      <c r="K96" s="105"/>
      <c r="L96" s="118"/>
      <c r="M96" s="65"/>
      <c r="N96" s="179"/>
    </row>
    <row r="97" spans="1:14" s="77" customFormat="1" x14ac:dyDescent="0.25">
      <c r="A97" s="150" t="s">
        <v>121</v>
      </c>
      <c r="B97" s="69">
        <v>476</v>
      </c>
      <c r="C97" s="69">
        <v>250</v>
      </c>
      <c r="D97" s="69">
        <v>250</v>
      </c>
      <c r="E97" s="69">
        <v>250</v>
      </c>
      <c r="F97" s="69">
        <v>250</v>
      </c>
      <c r="G97" s="69">
        <v>250</v>
      </c>
      <c r="H97" s="69">
        <v>250</v>
      </c>
      <c r="I97" s="69">
        <v>250</v>
      </c>
      <c r="J97" s="165">
        <v>250</v>
      </c>
      <c r="K97" s="105"/>
      <c r="L97" s="117"/>
      <c r="M97" s="65">
        <f t="shared" ref="M97:M99" si="12">SUM(B97:L97)</f>
        <v>2476</v>
      </c>
      <c r="N97" s="179"/>
    </row>
    <row r="98" spans="1:14" s="77" customFormat="1" x14ac:dyDescent="0.25">
      <c r="A98" s="151" t="s">
        <v>5</v>
      </c>
      <c r="B98" s="69">
        <v>76</v>
      </c>
      <c r="C98" s="69"/>
      <c r="D98" s="69"/>
      <c r="E98" s="69"/>
      <c r="F98" s="69"/>
      <c r="G98" s="69"/>
      <c r="H98" s="69"/>
      <c r="I98" s="69"/>
      <c r="J98" s="165"/>
      <c r="K98" s="105"/>
      <c r="L98" s="117"/>
      <c r="M98" s="65">
        <f t="shared" si="12"/>
        <v>76</v>
      </c>
      <c r="N98" s="179"/>
    </row>
    <row r="99" spans="1:14" s="93" customFormat="1" ht="15" customHeight="1" x14ac:dyDescent="0.25">
      <c r="A99" s="151" t="s">
        <v>67</v>
      </c>
      <c r="B99" s="69"/>
      <c r="C99" s="69">
        <v>400</v>
      </c>
      <c r="D99" s="69"/>
      <c r="E99" s="69"/>
      <c r="F99" s="69"/>
      <c r="G99" s="69"/>
      <c r="H99" s="69"/>
      <c r="I99" s="69"/>
      <c r="J99" s="165"/>
      <c r="K99" s="105"/>
      <c r="L99" s="116"/>
      <c r="M99" s="65">
        <f t="shared" si="12"/>
        <v>400</v>
      </c>
      <c r="N99" s="179"/>
    </row>
    <row r="100" spans="1:14" s="79" customFormat="1" x14ac:dyDescent="0.25">
      <c r="A100" s="88" t="s">
        <v>122</v>
      </c>
      <c r="B100" s="69"/>
      <c r="C100" s="69"/>
      <c r="D100" s="69"/>
      <c r="E100" s="69"/>
      <c r="F100" s="69"/>
      <c r="G100" s="69"/>
      <c r="H100" s="69"/>
      <c r="I100" s="69"/>
      <c r="J100" s="165"/>
      <c r="K100" s="105"/>
      <c r="L100" s="118"/>
      <c r="M100" s="65"/>
      <c r="N100" s="179"/>
    </row>
    <row r="101" spans="1:14" s="77" customFormat="1" x14ac:dyDescent="0.25">
      <c r="A101" s="151" t="s">
        <v>122</v>
      </c>
      <c r="B101" s="69"/>
      <c r="C101" s="69"/>
      <c r="D101" s="69"/>
      <c r="E101" s="69"/>
      <c r="F101" s="69"/>
      <c r="G101" s="69"/>
      <c r="H101" s="69"/>
      <c r="I101" s="69"/>
      <c r="J101" s="165">
        <v>400</v>
      </c>
      <c r="K101" s="105">
        <v>400</v>
      </c>
      <c r="L101" s="117"/>
      <c r="M101" s="65">
        <f>SUM(B101:L101)</f>
        <v>800</v>
      </c>
      <c r="N101" s="179"/>
    </row>
    <row r="102" spans="1:14" s="79" customFormat="1" x14ac:dyDescent="0.25">
      <c r="A102" s="158" t="s">
        <v>123</v>
      </c>
      <c r="B102" s="69"/>
      <c r="C102" s="69"/>
      <c r="D102" s="69"/>
      <c r="E102" s="69"/>
      <c r="F102" s="69"/>
      <c r="G102" s="69"/>
      <c r="H102" s="69"/>
      <c r="I102" s="69"/>
      <c r="J102" s="165"/>
      <c r="K102" s="105"/>
      <c r="L102" s="117"/>
      <c r="M102" s="65"/>
      <c r="N102" s="179"/>
    </row>
    <row r="103" spans="1:14" s="77" customFormat="1" x14ac:dyDescent="0.25">
      <c r="A103" s="150" t="s">
        <v>124</v>
      </c>
      <c r="B103" s="69">
        <v>102</v>
      </c>
      <c r="C103" s="69"/>
      <c r="D103" s="69"/>
      <c r="E103" s="69"/>
      <c r="F103" s="69"/>
      <c r="G103" s="69"/>
      <c r="H103" s="69"/>
      <c r="I103" s="69"/>
      <c r="J103" s="165">
        <v>350</v>
      </c>
      <c r="K103" s="105">
        <v>350</v>
      </c>
      <c r="L103" s="115"/>
      <c r="M103" s="65">
        <f>SUM(B103:L103)</f>
        <v>802</v>
      </c>
      <c r="N103" s="179"/>
    </row>
    <row r="104" spans="1:14" s="79" customFormat="1" x14ac:dyDescent="0.25">
      <c r="A104" s="88" t="s">
        <v>125</v>
      </c>
      <c r="B104" s="69"/>
      <c r="C104" s="69"/>
      <c r="D104" s="69"/>
      <c r="E104" s="69"/>
      <c r="F104" s="69"/>
      <c r="G104" s="69"/>
      <c r="H104" s="69"/>
      <c r="I104" s="69"/>
      <c r="J104" s="165"/>
      <c r="K104" s="105"/>
      <c r="L104" s="118"/>
      <c r="M104" s="65"/>
      <c r="N104" s="179"/>
    </row>
    <row r="105" spans="1:14" s="77" customFormat="1" x14ac:dyDescent="0.25">
      <c r="A105" s="151" t="s">
        <v>126</v>
      </c>
      <c r="B105" s="69"/>
      <c r="C105" s="69">
        <v>600</v>
      </c>
      <c r="D105" s="69">
        <v>600</v>
      </c>
      <c r="E105" s="69">
        <v>400</v>
      </c>
      <c r="F105" s="69">
        <v>300</v>
      </c>
      <c r="G105" s="69">
        <v>300</v>
      </c>
      <c r="H105" s="69">
        <v>300</v>
      </c>
      <c r="I105" s="69">
        <v>300</v>
      </c>
      <c r="J105" s="165">
        <v>300</v>
      </c>
      <c r="K105" s="105"/>
      <c r="L105" s="117"/>
      <c r="M105" s="65">
        <f t="shared" ref="M105:M114" si="13">SUM(B105:L105)</f>
        <v>3100</v>
      </c>
      <c r="N105" s="179"/>
    </row>
    <row r="106" spans="1:14" s="89" customFormat="1" x14ac:dyDescent="0.25">
      <c r="A106" s="151" t="s">
        <v>127</v>
      </c>
      <c r="B106" s="69">
        <v>97</v>
      </c>
      <c r="C106" s="69"/>
      <c r="D106" s="69"/>
      <c r="E106" s="69"/>
      <c r="F106" s="69"/>
      <c r="G106" s="69"/>
      <c r="H106" s="69"/>
      <c r="I106" s="69"/>
      <c r="J106" s="165"/>
      <c r="K106" s="105"/>
      <c r="L106" s="117"/>
      <c r="M106" s="65">
        <f t="shared" si="13"/>
        <v>97</v>
      </c>
      <c r="N106" s="179"/>
    </row>
    <row r="107" spans="1:14" s="89" customFormat="1" x14ac:dyDescent="0.25">
      <c r="A107" s="151" t="s">
        <v>128</v>
      </c>
      <c r="B107" s="69">
        <v>676</v>
      </c>
      <c r="C107" s="69"/>
      <c r="D107" s="69"/>
      <c r="E107" s="69"/>
      <c r="F107" s="69"/>
      <c r="G107" s="69"/>
      <c r="H107" s="69"/>
      <c r="I107" s="69"/>
      <c r="J107" s="165"/>
      <c r="K107" s="105"/>
      <c r="L107" s="117"/>
      <c r="M107" s="65">
        <f t="shared" si="13"/>
        <v>676</v>
      </c>
      <c r="N107" s="179"/>
    </row>
    <row r="108" spans="1:14" s="77" customFormat="1" x14ac:dyDescent="0.25">
      <c r="A108" s="151" t="s">
        <v>212</v>
      </c>
      <c r="B108" s="69">
        <v>444</v>
      </c>
      <c r="C108" s="69"/>
      <c r="D108" s="69"/>
      <c r="E108" s="69"/>
      <c r="F108" s="69"/>
      <c r="G108" s="69"/>
      <c r="H108" s="69"/>
      <c r="I108" s="69"/>
      <c r="J108" s="165"/>
      <c r="K108" s="105"/>
      <c r="L108" s="118"/>
      <c r="M108" s="65">
        <f t="shared" si="13"/>
        <v>444</v>
      </c>
      <c r="N108" s="179"/>
    </row>
    <row r="109" spans="1:14" s="77" customFormat="1" x14ac:dyDescent="0.25">
      <c r="A109" s="151" t="s">
        <v>213</v>
      </c>
      <c r="B109" s="69"/>
      <c r="C109" s="69"/>
      <c r="D109" s="69"/>
      <c r="E109" s="69"/>
      <c r="F109" s="69"/>
      <c r="G109" s="69"/>
      <c r="H109" s="69"/>
      <c r="I109" s="69"/>
      <c r="J109" s="165"/>
      <c r="K109" s="105"/>
      <c r="L109" s="118"/>
      <c r="M109" s="65"/>
      <c r="N109" s="179"/>
    </row>
    <row r="110" spans="1:14" s="77" customFormat="1" x14ac:dyDescent="0.25">
      <c r="A110" s="151" t="s">
        <v>129</v>
      </c>
      <c r="B110" s="69"/>
      <c r="C110" s="69"/>
      <c r="D110" s="69"/>
      <c r="E110" s="69"/>
      <c r="F110" s="69"/>
      <c r="G110" s="69"/>
      <c r="H110" s="69"/>
      <c r="I110" s="69"/>
      <c r="J110" s="165">
        <v>1300</v>
      </c>
      <c r="K110" s="105">
        <v>1300</v>
      </c>
      <c r="L110" s="117"/>
      <c r="M110" s="65">
        <f t="shared" si="13"/>
        <v>2600</v>
      </c>
      <c r="N110" s="179"/>
    </row>
    <row r="111" spans="1:14" s="178" customFormat="1" x14ac:dyDescent="0.25">
      <c r="A111" s="151" t="s">
        <v>130</v>
      </c>
      <c r="B111" s="69">
        <v>345</v>
      </c>
      <c r="C111" s="69">
        <v>50</v>
      </c>
      <c r="D111" s="69">
        <v>50</v>
      </c>
      <c r="E111" s="69">
        <v>50</v>
      </c>
      <c r="F111" s="69">
        <v>50</v>
      </c>
      <c r="G111" s="69">
        <v>50</v>
      </c>
      <c r="H111" s="69">
        <v>50</v>
      </c>
      <c r="I111" s="69">
        <v>50</v>
      </c>
      <c r="J111" s="165">
        <v>550</v>
      </c>
      <c r="K111" s="105">
        <v>500</v>
      </c>
      <c r="L111" s="119"/>
      <c r="M111" s="65">
        <f t="shared" si="13"/>
        <v>1745</v>
      </c>
      <c r="N111" s="179"/>
    </row>
    <row r="112" spans="1:14" s="77" customFormat="1" x14ac:dyDescent="0.25">
      <c r="A112" s="151" t="s">
        <v>131</v>
      </c>
      <c r="B112" s="69">
        <v>144</v>
      </c>
      <c r="C112" s="69">
        <v>100</v>
      </c>
      <c r="D112" s="69">
        <v>100</v>
      </c>
      <c r="E112" s="69">
        <v>100</v>
      </c>
      <c r="F112" s="69">
        <v>100</v>
      </c>
      <c r="G112" s="69">
        <v>100</v>
      </c>
      <c r="H112" s="69">
        <v>100</v>
      </c>
      <c r="I112" s="69">
        <v>100</v>
      </c>
      <c r="J112" s="165">
        <v>100</v>
      </c>
      <c r="K112" s="105"/>
      <c r="L112" s="117"/>
      <c r="M112" s="65">
        <f t="shared" si="13"/>
        <v>944</v>
      </c>
      <c r="N112" s="179"/>
    </row>
    <row r="113" spans="1:14" s="77" customFormat="1" x14ac:dyDescent="0.25">
      <c r="A113" s="151" t="s">
        <v>132</v>
      </c>
      <c r="B113" s="69">
        <v>4271</v>
      </c>
      <c r="C113" s="69">
        <v>4500</v>
      </c>
      <c r="D113" s="69">
        <v>4500</v>
      </c>
      <c r="E113" s="69">
        <v>4500</v>
      </c>
      <c r="F113" s="69">
        <v>4500</v>
      </c>
      <c r="G113" s="69">
        <v>4500</v>
      </c>
      <c r="H113" s="69">
        <v>4500</v>
      </c>
      <c r="I113" s="69">
        <v>4500</v>
      </c>
      <c r="J113" s="69">
        <v>4500</v>
      </c>
      <c r="K113" s="105">
        <v>5000</v>
      </c>
      <c r="L113" s="117"/>
      <c r="M113" s="65">
        <f t="shared" si="13"/>
        <v>45271</v>
      </c>
      <c r="N113" s="179"/>
    </row>
    <row r="114" spans="1:14" s="77" customFormat="1" x14ac:dyDescent="0.25">
      <c r="A114" s="151" t="s">
        <v>233</v>
      </c>
      <c r="B114" s="69">
        <v>165</v>
      </c>
      <c r="C114" s="69">
        <v>115</v>
      </c>
      <c r="D114" s="69">
        <v>115</v>
      </c>
      <c r="E114" s="69">
        <v>115</v>
      </c>
      <c r="F114" s="69">
        <v>115</v>
      </c>
      <c r="G114" s="69">
        <v>115</v>
      </c>
      <c r="H114" s="69">
        <v>115</v>
      </c>
      <c r="I114" s="69">
        <v>115</v>
      </c>
      <c r="J114" s="165"/>
      <c r="K114" s="105"/>
      <c r="L114" s="117"/>
      <c r="M114" s="65">
        <f t="shared" si="13"/>
        <v>970</v>
      </c>
      <c r="N114" s="179"/>
    </row>
    <row r="115" spans="1:14" s="77" customFormat="1" x14ac:dyDescent="0.25">
      <c r="A115" s="152"/>
      <c r="B115" s="69"/>
      <c r="C115" s="69"/>
      <c r="D115" s="69"/>
      <c r="E115" s="69"/>
      <c r="F115" s="69"/>
      <c r="G115" s="69"/>
      <c r="H115" s="69"/>
      <c r="I115" s="69"/>
      <c r="J115" s="165"/>
      <c r="K115" s="105"/>
      <c r="L115" s="117"/>
      <c r="M115" s="65"/>
      <c r="N115" s="179"/>
    </row>
    <row r="116" spans="1:14" s="77" customFormat="1" x14ac:dyDescent="0.25">
      <c r="A116" s="90" t="s">
        <v>133</v>
      </c>
      <c r="B116" s="69"/>
      <c r="C116" s="69"/>
      <c r="D116" s="69"/>
      <c r="E116" s="69"/>
      <c r="F116" s="69"/>
      <c r="G116" s="69"/>
      <c r="H116" s="69"/>
      <c r="I116" s="69"/>
      <c r="J116" s="165"/>
      <c r="K116" s="105"/>
      <c r="L116" s="118"/>
      <c r="M116" s="65"/>
      <c r="N116" s="179"/>
    </row>
    <row r="117" spans="1:14" s="77" customFormat="1" x14ac:dyDescent="0.25">
      <c r="A117" s="151" t="s">
        <v>134</v>
      </c>
      <c r="B117" s="69">
        <v>2000</v>
      </c>
      <c r="C117" s="69">
        <v>2000</v>
      </c>
      <c r="D117" s="69">
        <v>2000</v>
      </c>
      <c r="E117" s="69">
        <v>2000</v>
      </c>
      <c r="F117" s="69">
        <v>2000</v>
      </c>
      <c r="G117" s="69">
        <v>6000</v>
      </c>
      <c r="H117" s="69"/>
      <c r="I117" s="69"/>
      <c r="J117" s="165"/>
      <c r="K117" s="105"/>
      <c r="L117" s="116"/>
      <c r="M117" s="65">
        <f>SUM(B117:L117)</f>
        <v>16000</v>
      </c>
      <c r="N117" s="179"/>
    </row>
    <row r="118" spans="1:14" s="79" customFormat="1" ht="13.8" thickBot="1" x14ac:dyDescent="0.3">
      <c r="A118" s="153"/>
      <c r="B118" s="91"/>
      <c r="C118" s="91"/>
      <c r="D118" s="91"/>
      <c r="E118" s="91"/>
      <c r="F118" s="91"/>
      <c r="G118" s="91"/>
      <c r="H118" s="91"/>
      <c r="I118" s="91"/>
      <c r="J118" s="175"/>
      <c r="K118" s="108"/>
      <c r="L118" s="119"/>
      <c r="M118" s="65"/>
    </row>
    <row r="119" spans="1:14" s="178" customFormat="1" ht="13.8" thickBot="1" x14ac:dyDescent="0.3">
      <c r="A119" s="73" t="s">
        <v>244</v>
      </c>
      <c r="B119" s="84">
        <f t="shared" ref="B119:K119" si="14">SUM(B85:B118)</f>
        <v>15534</v>
      </c>
      <c r="C119" s="84">
        <f t="shared" si="14"/>
        <v>16265</v>
      </c>
      <c r="D119" s="84">
        <f t="shared" si="14"/>
        <v>15865</v>
      </c>
      <c r="E119" s="84">
        <f t="shared" si="14"/>
        <v>15565</v>
      </c>
      <c r="F119" s="84">
        <f t="shared" si="14"/>
        <v>15465</v>
      </c>
      <c r="G119" s="84">
        <f t="shared" si="14"/>
        <v>19465</v>
      </c>
      <c r="H119" s="84">
        <f t="shared" si="14"/>
        <v>13465</v>
      </c>
      <c r="I119" s="84">
        <f t="shared" si="14"/>
        <v>13465</v>
      </c>
      <c r="J119" s="172">
        <f t="shared" si="14"/>
        <v>15800</v>
      </c>
      <c r="K119" s="85">
        <f t="shared" si="14"/>
        <v>10470</v>
      </c>
      <c r="L119" s="115"/>
      <c r="M119" s="109">
        <f>SUM(M85:M118)</f>
        <v>151359</v>
      </c>
    </row>
    <row r="121" spans="1:14" s="77" customFormat="1" ht="15.6" customHeight="1" x14ac:dyDescent="0.3">
      <c r="A121" s="76" t="s">
        <v>241</v>
      </c>
      <c r="B121" s="136"/>
      <c r="C121" s="78"/>
      <c r="D121" s="78"/>
      <c r="E121" s="78"/>
      <c r="F121" s="78"/>
      <c r="G121" s="78"/>
      <c r="H121" s="78"/>
      <c r="I121" s="78"/>
      <c r="J121" s="78"/>
      <c r="K121" s="78"/>
      <c r="L121" s="120"/>
      <c r="M121" s="131"/>
    </row>
    <row r="122" spans="1:14" s="82" customFormat="1" ht="15" customHeight="1" thickBot="1" x14ac:dyDescent="0.3">
      <c r="A122" s="80"/>
      <c r="B122" s="136"/>
      <c r="C122" s="87"/>
      <c r="D122" s="87"/>
      <c r="E122" s="87"/>
      <c r="F122" s="87"/>
      <c r="G122" s="87"/>
      <c r="H122" s="87"/>
      <c r="I122" s="87"/>
      <c r="J122" s="160"/>
      <c r="K122" s="160"/>
      <c r="L122" s="120"/>
      <c r="M122" s="121"/>
    </row>
    <row r="123" spans="1:14" s="83" customFormat="1" ht="64.95" customHeight="1" x14ac:dyDescent="0.25">
      <c r="A123" s="161" t="s">
        <v>100</v>
      </c>
      <c r="B123" s="155" t="s">
        <v>59</v>
      </c>
      <c r="C123" s="155" t="s">
        <v>225</v>
      </c>
      <c r="D123" s="155" t="s">
        <v>226</v>
      </c>
      <c r="E123" s="155" t="s">
        <v>227</v>
      </c>
      <c r="F123" s="155" t="s">
        <v>228</v>
      </c>
      <c r="G123" s="155" t="s">
        <v>229</v>
      </c>
      <c r="H123" s="155" t="s">
        <v>230</v>
      </c>
      <c r="I123" s="155" t="s">
        <v>231</v>
      </c>
      <c r="J123" s="163" t="s">
        <v>232</v>
      </c>
      <c r="K123" s="156" t="s">
        <v>236</v>
      </c>
      <c r="L123" s="96"/>
      <c r="M123" s="157" t="s">
        <v>239</v>
      </c>
    </row>
    <row r="124" spans="1:14" s="83" customFormat="1" x14ac:dyDescent="0.25">
      <c r="A124" s="149"/>
      <c r="B124" s="62" t="s">
        <v>58</v>
      </c>
      <c r="C124" s="62" t="s">
        <v>58</v>
      </c>
      <c r="D124" s="62" t="s">
        <v>58</v>
      </c>
      <c r="E124" s="62" t="s">
        <v>58</v>
      </c>
      <c r="F124" s="62" t="s">
        <v>58</v>
      </c>
      <c r="G124" s="62" t="s">
        <v>58</v>
      </c>
      <c r="H124" s="62" t="s">
        <v>58</v>
      </c>
      <c r="I124" s="62" t="s">
        <v>58</v>
      </c>
      <c r="J124" s="164" t="s">
        <v>58</v>
      </c>
      <c r="K124" s="104" t="s">
        <v>58</v>
      </c>
      <c r="L124" s="122"/>
      <c r="M124" s="63" t="s">
        <v>58</v>
      </c>
    </row>
    <row r="125" spans="1:14" s="79" customFormat="1" ht="15" customHeight="1" x14ac:dyDescent="0.25">
      <c r="A125" s="90" t="s">
        <v>109</v>
      </c>
      <c r="B125" s="69"/>
      <c r="C125" s="69"/>
      <c r="D125" s="69"/>
      <c r="E125" s="69"/>
      <c r="F125" s="69"/>
      <c r="G125" s="69"/>
      <c r="H125" s="69"/>
      <c r="I125" s="69"/>
      <c r="J125" s="165"/>
      <c r="K125" s="105"/>
      <c r="L125" s="123"/>
      <c r="M125" s="124"/>
    </row>
    <row r="126" spans="1:14" s="77" customFormat="1" x14ac:dyDescent="0.25">
      <c r="A126" s="151" t="s">
        <v>135</v>
      </c>
      <c r="B126" s="69">
        <v>1611</v>
      </c>
      <c r="C126" s="69">
        <v>10020</v>
      </c>
      <c r="D126" s="69">
        <v>13030</v>
      </c>
      <c r="E126" s="69">
        <v>2410</v>
      </c>
      <c r="F126" s="69">
        <v>14820</v>
      </c>
      <c r="G126" s="69">
        <v>682</v>
      </c>
      <c r="H126" s="69"/>
      <c r="I126" s="69"/>
      <c r="J126" s="165"/>
      <c r="K126" s="105"/>
      <c r="L126" s="125"/>
      <c r="M126" s="65">
        <f>SUM(B126:L126)</f>
        <v>42573</v>
      </c>
      <c r="N126" s="179"/>
    </row>
    <row r="127" spans="1:14" s="93" customFormat="1" x14ac:dyDescent="0.25">
      <c r="A127" s="151" t="s">
        <v>203</v>
      </c>
      <c r="B127" s="69">
        <v>3126</v>
      </c>
      <c r="C127" s="69">
        <v>506</v>
      </c>
      <c r="D127" s="69">
        <v>1661</v>
      </c>
      <c r="E127" s="69">
        <v>2636</v>
      </c>
      <c r="F127" s="69"/>
      <c r="G127" s="69"/>
      <c r="H127" s="69"/>
      <c r="I127" s="69"/>
      <c r="J127" s="167"/>
      <c r="K127" s="107"/>
      <c r="L127" s="125"/>
      <c r="M127" s="65">
        <f t="shared" ref="M127:M156" si="15">SUM(B127:L127)</f>
        <v>7929</v>
      </c>
    </row>
    <row r="128" spans="1:14" s="93" customFormat="1" x14ac:dyDescent="0.25">
      <c r="A128" s="151" t="s">
        <v>205</v>
      </c>
      <c r="B128" s="69">
        <v>50</v>
      </c>
      <c r="C128" s="69">
        <v>1525</v>
      </c>
      <c r="D128" s="69">
        <v>2317</v>
      </c>
      <c r="E128" s="69"/>
      <c r="F128" s="69"/>
      <c r="G128" s="69"/>
      <c r="H128" s="69"/>
      <c r="I128" s="69"/>
      <c r="J128" s="167"/>
      <c r="K128" s="107"/>
      <c r="L128" s="126"/>
      <c r="M128" s="65">
        <f t="shared" si="15"/>
        <v>3892</v>
      </c>
    </row>
    <row r="129" spans="1:13" s="77" customFormat="1" x14ac:dyDescent="0.25">
      <c r="A129" s="151" t="s">
        <v>6</v>
      </c>
      <c r="B129" s="69"/>
      <c r="C129" s="69">
        <v>500</v>
      </c>
      <c r="D129" s="69">
        <v>2000</v>
      </c>
      <c r="E129" s="69">
        <v>200</v>
      </c>
      <c r="F129" s="69">
        <v>2300</v>
      </c>
      <c r="G129" s="69">
        <v>1475</v>
      </c>
      <c r="H129" s="69"/>
      <c r="I129" s="69"/>
      <c r="J129" s="165"/>
      <c r="K129" s="105"/>
      <c r="L129" s="125"/>
      <c r="M129" s="65">
        <f t="shared" si="15"/>
        <v>6475</v>
      </c>
    </row>
    <row r="130" spans="1:13" s="77" customFormat="1" x14ac:dyDescent="0.25">
      <c r="A130" s="57" t="s">
        <v>136</v>
      </c>
      <c r="B130" s="69"/>
      <c r="C130" s="69">
        <v>856</v>
      </c>
      <c r="D130" s="69">
        <v>812</v>
      </c>
      <c r="E130" s="69"/>
      <c r="F130" s="69">
        <v>7525</v>
      </c>
      <c r="G130" s="69">
        <v>5000</v>
      </c>
      <c r="H130" s="69">
        <v>5000</v>
      </c>
      <c r="I130" s="69">
        <v>5000</v>
      </c>
      <c r="J130" s="165">
        <v>2500</v>
      </c>
      <c r="K130" s="105">
        <v>2600</v>
      </c>
      <c r="L130" s="127"/>
      <c r="M130" s="65">
        <f t="shared" si="15"/>
        <v>29293</v>
      </c>
    </row>
    <row r="131" spans="1:13" s="93" customFormat="1" x14ac:dyDescent="0.25">
      <c r="A131" s="151" t="s">
        <v>66</v>
      </c>
      <c r="B131" s="69">
        <v>726</v>
      </c>
      <c r="C131" s="69">
        <v>344</v>
      </c>
      <c r="D131" s="69">
        <v>1188</v>
      </c>
      <c r="E131" s="69">
        <v>4600</v>
      </c>
      <c r="F131" s="69"/>
      <c r="G131" s="69"/>
      <c r="H131" s="69"/>
      <c r="I131" s="69"/>
      <c r="J131" s="167"/>
      <c r="K131" s="107"/>
      <c r="L131" s="127"/>
      <c r="M131" s="65">
        <f t="shared" si="15"/>
        <v>6858</v>
      </c>
    </row>
    <row r="132" spans="1:13" s="77" customFormat="1" x14ac:dyDescent="0.25">
      <c r="A132" s="151" t="s">
        <v>137</v>
      </c>
      <c r="B132" s="69">
        <v>224</v>
      </c>
      <c r="C132" s="69"/>
      <c r="D132" s="69">
        <v>250</v>
      </c>
      <c r="E132" s="69"/>
      <c r="F132" s="69">
        <v>250</v>
      </c>
      <c r="G132" s="69"/>
      <c r="H132" s="69">
        <v>300</v>
      </c>
      <c r="I132" s="69"/>
      <c r="J132" s="165">
        <v>300</v>
      </c>
      <c r="K132" s="105"/>
      <c r="L132" s="127"/>
      <c r="M132" s="65">
        <f t="shared" si="15"/>
        <v>1324</v>
      </c>
    </row>
    <row r="133" spans="1:13" s="77" customFormat="1" x14ac:dyDescent="0.25">
      <c r="A133" s="151" t="s">
        <v>138</v>
      </c>
      <c r="B133" s="69"/>
      <c r="C133" s="69"/>
      <c r="D133" s="69"/>
      <c r="E133" s="69"/>
      <c r="F133" s="69"/>
      <c r="G133" s="69"/>
      <c r="H133" s="69"/>
      <c r="I133" s="69"/>
      <c r="J133" s="165">
        <v>2500</v>
      </c>
      <c r="K133" s="105">
        <v>7500</v>
      </c>
      <c r="L133" s="127"/>
      <c r="M133" s="65">
        <f t="shared" si="15"/>
        <v>10000</v>
      </c>
    </row>
    <row r="134" spans="1:13" s="77" customFormat="1" x14ac:dyDescent="0.25">
      <c r="A134" s="57" t="s">
        <v>139</v>
      </c>
      <c r="B134" s="69"/>
      <c r="C134" s="69">
        <v>1095</v>
      </c>
      <c r="D134" s="69">
        <v>1095</v>
      </c>
      <c r="E134" s="69">
        <v>1095</v>
      </c>
      <c r="F134" s="69">
        <v>1095</v>
      </c>
      <c r="G134" s="69">
        <v>1095</v>
      </c>
      <c r="H134" s="69">
        <v>1095</v>
      </c>
      <c r="I134" s="69">
        <v>1095</v>
      </c>
      <c r="J134" s="165">
        <v>500</v>
      </c>
      <c r="K134" s="105"/>
      <c r="L134" s="127"/>
      <c r="M134" s="65">
        <f t="shared" si="15"/>
        <v>8165</v>
      </c>
    </row>
    <row r="135" spans="1:13" s="89" customFormat="1" x14ac:dyDescent="0.25">
      <c r="A135" s="57" t="s">
        <v>140</v>
      </c>
      <c r="B135" s="69">
        <v>407</v>
      </c>
      <c r="C135" s="69"/>
      <c r="D135" s="69"/>
      <c r="E135" s="69"/>
      <c r="F135" s="69"/>
      <c r="G135" s="69"/>
      <c r="H135" s="69"/>
      <c r="I135" s="69"/>
      <c r="J135" s="176"/>
      <c r="K135" s="110"/>
      <c r="L135" s="126"/>
      <c r="M135" s="65">
        <f t="shared" si="15"/>
        <v>407</v>
      </c>
    </row>
    <row r="136" spans="1:13" s="89" customFormat="1" x14ac:dyDescent="0.25">
      <c r="A136" s="57" t="s">
        <v>141</v>
      </c>
      <c r="B136" s="69">
        <v>369</v>
      </c>
      <c r="C136" s="69"/>
      <c r="D136" s="69"/>
      <c r="E136" s="69"/>
      <c r="F136" s="69"/>
      <c r="G136" s="69"/>
      <c r="H136" s="69"/>
      <c r="I136" s="69"/>
      <c r="J136" s="176"/>
      <c r="K136" s="110"/>
      <c r="L136" s="126"/>
      <c r="M136" s="65">
        <f t="shared" si="15"/>
        <v>369</v>
      </c>
    </row>
    <row r="137" spans="1:13" s="89" customFormat="1" x14ac:dyDescent="0.25">
      <c r="A137" s="57" t="s">
        <v>142</v>
      </c>
      <c r="B137" s="69">
        <v>1047</v>
      </c>
      <c r="C137" s="69"/>
      <c r="D137" s="69"/>
      <c r="E137" s="69"/>
      <c r="F137" s="69"/>
      <c r="G137" s="69"/>
      <c r="H137" s="69"/>
      <c r="I137" s="69"/>
      <c r="J137" s="176"/>
      <c r="K137" s="110"/>
      <c r="L137" s="125"/>
      <c r="M137" s="65">
        <f t="shared" si="15"/>
        <v>1047</v>
      </c>
    </row>
    <row r="138" spans="1:13" s="89" customFormat="1" x14ac:dyDescent="0.25">
      <c r="A138" s="57" t="s">
        <v>143</v>
      </c>
      <c r="B138" s="69">
        <v>71</v>
      </c>
      <c r="C138" s="69"/>
      <c r="D138" s="69"/>
      <c r="E138" s="69"/>
      <c r="F138" s="69"/>
      <c r="G138" s="69"/>
      <c r="H138" s="69"/>
      <c r="I138" s="69"/>
      <c r="J138" s="176"/>
      <c r="K138" s="110"/>
      <c r="L138" s="126"/>
      <c r="M138" s="65">
        <f t="shared" si="15"/>
        <v>71</v>
      </c>
    </row>
    <row r="139" spans="1:13" s="89" customFormat="1" x14ac:dyDescent="0.25">
      <c r="A139" s="57" t="s">
        <v>144</v>
      </c>
      <c r="B139" s="69">
        <v>235</v>
      </c>
      <c r="C139" s="69"/>
      <c r="D139" s="69"/>
      <c r="E139" s="69"/>
      <c r="F139" s="69"/>
      <c r="G139" s="69"/>
      <c r="H139" s="69"/>
      <c r="I139" s="69"/>
      <c r="J139" s="176"/>
      <c r="K139" s="110"/>
      <c r="L139" s="127"/>
      <c r="M139" s="65">
        <f t="shared" si="15"/>
        <v>235</v>
      </c>
    </row>
    <row r="140" spans="1:13" s="89" customFormat="1" x14ac:dyDescent="0.25">
      <c r="A140" s="151" t="s">
        <v>64</v>
      </c>
      <c r="B140" s="69">
        <v>52</v>
      </c>
      <c r="C140" s="69"/>
      <c r="D140" s="69"/>
      <c r="E140" s="69"/>
      <c r="F140" s="69"/>
      <c r="G140" s="69"/>
      <c r="H140" s="69"/>
      <c r="I140" s="69"/>
      <c r="J140" s="176"/>
      <c r="K140" s="110"/>
      <c r="L140" s="126"/>
      <c r="M140" s="65">
        <f t="shared" si="15"/>
        <v>52</v>
      </c>
    </row>
    <row r="141" spans="1:13" s="89" customFormat="1" x14ac:dyDescent="0.25">
      <c r="A141" s="151" t="s">
        <v>214</v>
      </c>
      <c r="B141" s="69">
        <v>75</v>
      </c>
      <c r="C141" s="69"/>
      <c r="D141" s="69"/>
      <c r="E141" s="69"/>
      <c r="F141" s="69"/>
      <c r="G141" s="69"/>
      <c r="H141" s="69"/>
      <c r="I141" s="69"/>
      <c r="J141" s="176"/>
      <c r="K141" s="110"/>
      <c r="L141" s="125"/>
      <c r="M141" s="65">
        <f t="shared" si="15"/>
        <v>75</v>
      </c>
    </row>
    <row r="142" spans="1:13" s="77" customFormat="1" x14ac:dyDescent="0.25">
      <c r="A142" s="151" t="s">
        <v>145</v>
      </c>
      <c r="B142" s="69"/>
      <c r="C142" s="69"/>
      <c r="D142" s="69"/>
      <c r="E142" s="69">
        <v>1500</v>
      </c>
      <c r="F142" s="69">
        <v>1500</v>
      </c>
      <c r="G142" s="69">
        <v>1500</v>
      </c>
      <c r="H142" s="69">
        <v>1500</v>
      </c>
      <c r="I142" s="69">
        <v>1500</v>
      </c>
      <c r="J142" s="165">
        <v>1500</v>
      </c>
      <c r="K142" s="105"/>
      <c r="L142" s="126"/>
      <c r="M142" s="65">
        <f t="shared" si="15"/>
        <v>9000</v>
      </c>
    </row>
    <row r="143" spans="1:13" s="89" customFormat="1" x14ac:dyDescent="0.25">
      <c r="A143" s="151" t="s">
        <v>146</v>
      </c>
      <c r="B143" s="69">
        <v>2170</v>
      </c>
      <c r="C143" s="69">
        <v>1500</v>
      </c>
      <c r="D143" s="69">
        <v>1500</v>
      </c>
      <c r="E143" s="69"/>
      <c r="F143" s="69"/>
      <c r="G143" s="69"/>
      <c r="H143" s="69"/>
      <c r="I143" s="69"/>
      <c r="J143" s="176"/>
      <c r="K143" s="110"/>
      <c r="L143" s="123"/>
      <c r="M143" s="65">
        <f t="shared" si="15"/>
        <v>5170</v>
      </c>
    </row>
    <row r="144" spans="1:13" s="89" customFormat="1" x14ac:dyDescent="0.25">
      <c r="A144" s="151" t="s">
        <v>147</v>
      </c>
      <c r="B144" s="69">
        <v>100</v>
      </c>
      <c r="C144" s="69"/>
      <c r="D144" s="69"/>
      <c r="E144" s="69"/>
      <c r="F144" s="69"/>
      <c r="G144" s="69"/>
      <c r="H144" s="69"/>
      <c r="I144" s="69"/>
      <c r="J144" s="176"/>
      <c r="K144" s="110"/>
      <c r="L144" s="126"/>
      <c r="M144" s="65">
        <f>SUM(B144:L144)</f>
        <v>100</v>
      </c>
    </row>
    <row r="145" spans="1:13" s="89" customFormat="1" x14ac:dyDescent="0.25">
      <c r="A145" s="151" t="s">
        <v>148</v>
      </c>
      <c r="B145" s="69">
        <v>46</v>
      </c>
      <c r="C145" s="69"/>
      <c r="D145" s="69"/>
      <c r="E145" s="69"/>
      <c r="F145" s="69"/>
      <c r="G145" s="69"/>
      <c r="H145" s="69"/>
      <c r="I145" s="69"/>
      <c r="J145" s="176"/>
      <c r="K145" s="110"/>
      <c r="L145" s="126"/>
      <c r="M145" s="65">
        <f>SUM(B145:L145)</f>
        <v>46</v>
      </c>
    </row>
    <row r="146" spans="1:13" s="89" customFormat="1" x14ac:dyDescent="0.25">
      <c r="A146" s="151" t="s">
        <v>65</v>
      </c>
      <c r="B146" s="69">
        <v>1146</v>
      </c>
      <c r="C146" s="69"/>
      <c r="D146" s="69"/>
      <c r="E146" s="69"/>
      <c r="F146" s="69"/>
      <c r="G146" s="69"/>
      <c r="H146" s="69"/>
      <c r="I146" s="69"/>
      <c r="J146" s="176"/>
      <c r="K146" s="110"/>
      <c r="L146" s="128"/>
      <c r="M146" s="65">
        <f t="shared" si="15"/>
        <v>1146</v>
      </c>
    </row>
    <row r="147" spans="1:13" s="89" customFormat="1" x14ac:dyDescent="0.25">
      <c r="A147" s="151" t="s">
        <v>149</v>
      </c>
      <c r="B147" s="69">
        <v>10</v>
      </c>
      <c r="C147" s="69"/>
      <c r="D147" s="69"/>
      <c r="E147" s="69"/>
      <c r="F147" s="69"/>
      <c r="G147" s="69"/>
      <c r="H147" s="69"/>
      <c r="I147" s="69"/>
      <c r="J147" s="176"/>
      <c r="K147" s="110"/>
      <c r="L147" s="128"/>
      <c r="M147" s="65">
        <f t="shared" si="15"/>
        <v>10</v>
      </c>
    </row>
    <row r="148" spans="1:13" s="77" customFormat="1" x14ac:dyDescent="0.25">
      <c r="A148" s="151" t="s">
        <v>150</v>
      </c>
      <c r="B148" s="69"/>
      <c r="C148" s="69">
        <v>1000</v>
      </c>
      <c r="D148" s="69">
        <v>1000</v>
      </c>
      <c r="E148" s="69">
        <v>1000</v>
      </c>
      <c r="F148" s="69">
        <v>1000</v>
      </c>
      <c r="G148" s="69">
        <v>1000</v>
      </c>
      <c r="H148" s="69">
        <v>1000</v>
      </c>
      <c r="I148" s="69">
        <v>1000</v>
      </c>
      <c r="J148" s="165">
        <v>1000</v>
      </c>
      <c r="K148" s="105"/>
      <c r="L148" s="126"/>
      <c r="M148" s="65">
        <f t="shared" si="15"/>
        <v>8000</v>
      </c>
    </row>
    <row r="149" spans="1:13" s="89" customFormat="1" x14ac:dyDescent="0.25">
      <c r="A149" s="151" t="s">
        <v>221</v>
      </c>
      <c r="B149" s="69">
        <v>3</v>
      </c>
      <c r="C149" s="69"/>
      <c r="D149" s="69"/>
      <c r="E149" s="69"/>
      <c r="F149" s="69"/>
      <c r="G149" s="69"/>
      <c r="H149" s="69"/>
      <c r="I149" s="69"/>
      <c r="J149" s="176"/>
      <c r="K149" s="110"/>
      <c r="L149" s="126"/>
      <c r="M149" s="65">
        <f t="shared" si="15"/>
        <v>3</v>
      </c>
    </row>
    <row r="150" spans="1:13" s="89" customFormat="1" x14ac:dyDescent="0.25">
      <c r="A150" s="151" t="s">
        <v>151</v>
      </c>
      <c r="B150" s="69">
        <v>101</v>
      </c>
      <c r="C150" s="69"/>
      <c r="D150" s="69"/>
      <c r="E150" s="69"/>
      <c r="F150" s="69"/>
      <c r="G150" s="69"/>
      <c r="H150" s="69"/>
      <c r="I150" s="69"/>
      <c r="J150" s="176"/>
      <c r="K150" s="110"/>
      <c r="L150" s="127"/>
      <c r="M150" s="65">
        <f t="shared" si="15"/>
        <v>101</v>
      </c>
    </row>
    <row r="151" spans="1:13" s="89" customFormat="1" x14ac:dyDescent="0.25">
      <c r="A151" s="151" t="s">
        <v>152</v>
      </c>
      <c r="B151" s="69">
        <v>169</v>
      </c>
      <c r="C151" s="69"/>
      <c r="D151" s="69"/>
      <c r="E151" s="69"/>
      <c r="F151" s="69"/>
      <c r="G151" s="69"/>
      <c r="H151" s="69"/>
      <c r="I151" s="69"/>
      <c r="J151" s="176"/>
      <c r="K151" s="110"/>
      <c r="L151" s="126"/>
      <c r="M151" s="65">
        <f t="shared" si="15"/>
        <v>169</v>
      </c>
    </row>
    <row r="152" spans="1:13" s="89" customFormat="1" x14ac:dyDescent="0.25">
      <c r="A152" s="151" t="s">
        <v>153</v>
      </c>
      <c r="B152" s="69">
        <v>37</v>
      </c>
      <c r="C152" s="69"/>
      <c r="D152" s="69"/>
      <c r="E152" s="69"/>
      <c r="F152" s="69"/>
      <c r="G152" s="69"/>
      <c r="H152" s="69"/>
      <c r="I152" s="69"/>
      <c r="J152" s="176"/>
      <c r="K152" s="110"/>
      <c r="L152" s="129"/>
      <c r="M152" s="65">
        <f t="shared" si="15"/>
        <v>37</v>
      </c>
    </row>
    <row r="153" spans="1:13" s="89" customFormat="1" x14ac:dyDescent="0.25">
      <c r="A153" s="151" t="s">
        <v>154</v>
      </c>
      <c r="B153" s="69">
        <v>25</v>
      </c>
      <c r="C153" s="69"/>
      <c r="D153" s="69"/>
      <c r="E153" s="69"/>
      <c r="F153" s="69"/>
      <c r="G153" s="69"/>
      <c r="H153" s="69"/>
      <c r="I153" s="69"/>
      <c r="J153" s="176"/>
      <c r="K153" s="110"/>
      <c r="L153" s="126"/>
      <c r="M153" s="65">
        <f t="shared" si="15"/>
        <v>25</v>
      </c>
    </row>
    <row r="154" spans="1:13" s="89" customFormat="1" x14ac:dyDescent="0.25">
      <c r="A154" s="151" t="s">
        <v>215</v>
      </c>
      <c r="B154" s="69">
        <v>135</v>
      </c>
      <c r="C154" s="69"/>
      <c r="D154" s="69"/>
      <c r="E154" s="69"/>
      <c r="F154" s="69"/>
      <c r="G154" s="69"/>
      <c r="H154" s="69"/>
      <c r="I154" s="69"/>
      <c r="J154" s="176"/>
      <c r="K154" s="110"/>
      <c r="L154" s="126"/>
      <c r="M154" s="65">
        <f t="shared" si="15"/>
        <v>135</v>
      </c>
    </row>
    <row r="155" spans="1:13" s="93" customFormat="1" x14ac:dyDescent="0.25">
      <c r="A155" s="151" t="s">
        <v>157</v>
      </c>
      <c r="B155" s="69">
        <v>30</v>
      </c>
      <c r="C155" s="69">
        <v>500</v>
      </c>
      <c r="D155" s="69"/>
      <c r="E155" s="69"/>
      <c r="F155" s="69"/>
      <c r="G155" s="69"/>
      <c r="H155" s="69"/>
      <c r="I155" s="69"/>
      <c r="J155" s="167"/>
      <c r="K155" s="107"/>
      <c r="L155" s="125"/>
      <c r="M155" s="65">
        <f>SUM(B155:L155)</f>
        <v>530</v>
      </c>
    </row>
    <row r="156" spans="1:13" s="93" customFormat="1" x14ac:dyDescent="0.25">
      <c r="A156" s="151" t="s">
        <v>156</v>
      </c>
      <c r="B156" s="69">
        <v>400</v>
      </c>
      <c r="C156" s="69"/>
      <c r="D156" s="69"/>
      <c r="E156" s="69"/>
      <c r="F156" s="69"/>
      <c r="G156" s="69"/>
      <c r="H156" s="69"/>
      <c r="I156" s="69"/>
      <c r="J156" s="167"/>
      <c r="K156" s="107"/>
      <c r="L156" s="127"/>
      <c r="M156" s="65">
        <f t="shared" si="15"/>
        <v>400</v>
      </c>
    </row>
    <row r="157" spans="1:13" s="89" customFormat="1" x14ac:dyDescent="0.25">
      <c r="A157" s="151" t="s">
        <v>222</v>
      </c>
      <c r="B157" s="69">
        <v>25</v>
      </c>
      <c r="C157" s="69"/>
      <c r="D157" s="69"/>
      <c r="E157" s="69"/>
      <c r="F157" s="69"/>
      <c r="G157" s="69"/>
      <c r="H157" s="69"/>
      <c r="I157" s="69"/>
      <c r="J157" s="176"/>
      <c r="K157" s="110"/>
      <c r="L157" s="126"/>
      <c r="M157" s="65">
        <f>SUM(B157:L157)</f>
        <v>25</v>
      </c>
    </row>
    <row r="158" spans="1:13" s="89" customFormat="1" x14ac:dyDescent="0.25">
      <c r="A158" s="151" t="s">
        <v>155</v>
      </c>
      <c r="B158" s="69">
        <v>10</v>
      </c>
      <c r="C158" s="69"/>
      <c r="D158" s="69"/>
      <c r="E158" s="69"/>
      <c r="F158" s="69"/>
      <c r="G158" s="69"/>
      <c r="H158" s="69"/>
      <c r="I158" s="69"/>
      <c r="J158" s="176"/>
      <c r="K158" s="110"/>
      <c r="L158" s="127"/>
      <c r="M158" s="65">
        <f>SUM(B158:L158)</f>
        <v>10</v>
      </c>
    </row>
    <row r="159" spans="1:13" s="79" customFormat="1" ht="15" customHeight="1" x14ac:dyDescent="0.25">
      <c r="A159" s="90" t="s">
        <v>115</v>
      </c>
      <c r="B159" s="69"/>
      <c r="C159" s="69"/>
      <c r="D159" s="69"/>
      <c r="E159" s="69"/>
      <c r="F159" s="69"/>
      <c r="G159" s="69"/>
      <c r="H159" s="69"/>
      <c r="I159" s="69"/>
      <c r="J159" s="165"/>
      <c r="K159" s="105"/>
      <c r="L159" s="129"/>
      <c r="M159" s="65"/>
    </row>
    <row r="160" spans="1:13" s="77" customFormat="1" x14ac:dyDescent="0.25">
      <c r="A160" s="151" t="s">
        <v>158</v>
      </c>
      <c r="B160" s="69">
        <v>30</v>
      </c>
      <c r="C160" s="69"/>
      <c r="D160" s="69"/>
      <c r="E160" s="69"/>
      <c r="F160" s="69"/>
      <c r="G160" s="69"/>
      <c r="H160" s="69"/>
      <c r="I160" s="69"/>
      <c r="J160" s="165">
        <v>585</v>
      </c>
      <c r="K160" s="105">
        <v>1195</v>
      </c>
      <c r="L160" s="125"/>
      <c r="M160" s="65">
        <f t="shared" ref="M160:M175" si="16">SUM(B160:L160)</f>
        <v>1810</v>
      </c>
    </row>
    <row r="161" spans="1:13" s="79" customFormat="1" ht="15" customHeight="1" x14ac:dyDescent="0.25">
      <c r="A161" s="90" t="s">
        <v>159</v>
      </c>
      <c r="B161" s="69"/>
      <c r="C161" s="69"/>
      <c r="D161" s="69"/>
      <c r="E161" s="69"/>
      <c r="F161" s="69"/>
      <c r="G161" s="69"/>
      <c r="H161" s="69"/>
      <c r="I161" s="69"/>
      <c r="J161" s="165"/>
      <c r="K161" s="105"/>
      <c r="L161" s="127"/>
      <c r="M161" s="65"/>
    </row>
    <row r="162" spans="1:13" s="77" customFormat="1" x14ac:dyDescent="0.25">
      <c r="A162" s="151" t="s">
        <v>160</v>
      </c>
      <c r="B162" s="69">
        <v>9293</v>
      </c>
      <c r="C162" s="69">
        <v>250</v>
      </c>
      <c r="D162" s="69"/>
      <c r="E162" s="69"/>
      <c r="F162" s="69"/>
      <c r="G162" s="69"/>
      <c r="H162" s="69"/>
      <c r="I162" s="69"/>
      <c r="J162" s="165"/>
      <c r="K162" s="105"/>
      <c r="L162" s="127"/>
      <c r="M162" s="65">
        <f t="shared" si="16"/>
        <v>9543</v>
      </c>
    </row>
    <row r="163" spans="1:13" s="77" customFormat="1" x14ac:dyDescent="0.25">
      <c r="A163" s="151" t="s">
        <v>161</v>
      </c>
      <c r="B163" s="69"/>
      <c r="C163" s="69">
        <v>2000</v>
      </c>
      <c r="D163" s="69"/>
      <c r="E163" s="69"/>
      <c r="F163" s="69">
        <v>1350</v>
      </c>
      <c r="G163" s="69">
        <v>2000</v>
      </c>
      <c r="H163" s="69">
        <v>5000</v>
      </c>
      <c r="I163" s="69">
        <v>7000</v>
      </c>
      <c r="J163" s="165">
        <v>7000</v>
      </c>
      <c r="K163" s="105">
        <v>6025</v>
      </c>
      <c r="L163" s="127"/>
      <c r="M163" s="65">
        <f t="shared" si="16"/>
        <v>30375</v>
      </c>
    </row>
    <row r="164" spans="1:13" s="89" customFormat="1" x14ac:dyDescent="0.25">
      <c r="A164" s="151" t="s">
        <v>162</v>
      </c>
      <c r="B164" s="69">
        <v>51</v>
      </c>
      <c r="C164" s="69"/>
      <c r="D164" s="69"/>
      <c r="E164" s="69"/>
      <c r="F164" s="69"/>
      <c r="G164" s="69"/>
      <c r="H164" s="69"/>
      <c r="I164" s="69"/>
      <c r="J164" s="176"/>
      <c r="K164" s="110"/>
      <c r="L164" s="123"/>
      <c r="M164" s="65">
        <f t="shared" si="16"/>
        <v>51</v>
      </c>
    </row>
    <row r="165" spans="1:13" s="89" customFormat="1" x14ac:dyDescent="0.25">
      <c r="A165" s="151" t="s">
        <v>163</v>
      </c>
      <c r="B165" s="69">
        <v>126</v>
      </c>
      <c r="C165" s="69"/>
      <c r="D165" s="69"/>
      <c r="E165" s="69"/>
      <c r="F165" s="69"/>
      <c r="G165" s="69"/>
      <c r="H165" s="69"/>
      <c r="I165" s="69"/>
      <c r="J165" s="176"/>
      <c r="K165" s="110"/>
      <c r="L165" s="125"/>
      <c r="M165" s="65">
        <f t="shared" si="16"/>
        <v>126</v>
      </c>
    </row>
    <row r="166" spans="1:13" s="89" customFormat="1" x14ac:dyDescent="0.25">
      <c r="A166" s="151" t="s">
        <v>164</v>
      </c>
      <c r="B166" s="69">
        <v>20</v>
      </c>
      <c r="C166" s="69"/>
      <c r="D166" s="69"/>
      <c r="E166" s="69"/>
      <c r="F166" s="69"/>
      <c r="G166" s="69"/>
      <c r="H166" s="69"/>
      <c r="I166" s="69"/>
      <c r="J166" s="176"/>
      <c r="K166" s="110"/>
      <c r="L166" s="125"/>
      <c r="M166" s="65">
        <f t="shared" si="16"/>
        <v>20</v>
      </c>
    </row>
    <row r="167" spans="1:13" s="89" customFormat="1" x14ac:dyDescent="0.25">
      <c r="A167" s="151" t="s">
        <v>165</v>
      </c>
      <c r="B167" s="69">
        <v>113</v>
      </c>
      <c r="C167" s="69"/>
      <c r="D167" s="69"/>
      <c r="E167" s="69"/>
      <c r="F167" s="69"/>
      <c r="G167" s="69"/>
      <c r="H167" s="69"/>
      <c r="I167" s="69"/>
      <c r="J167" s="176"/>
      <c r="K167" s="110"/>
      <c r="L167" s="125"/>
      <c r="M167" s="65">
        <f t="shared" si="16"/>
        <v>113</v>
      </c>
    </row>
    <row r="168" spans="1:13" s="89" customFormat="1" x14ac:dyDescent="0.25">
      <c r="A168" s="151" t="s">
        <v>166</v>
      </c>
      <c r="B168" s="69">
        <v>116</v>
      </c>
      <c r="C168" s="69"/>
      <c r="D168" s="69"/>
      <c r="E168" s="69"/>
      <c r="F168" s="69"/>
      <c r="G168" s="69"/>
      <c r="H168" s="69"/>
      <c r="I168" s="69"/>
      <c r="J168" s="176"/>
      <c r="K168" s="110"/>
      <c r="L168" s="126"/>
      <c r="M168" s="65">
        <f t="shared" si="16"/>
        <v>116</v>
      </c>
    </row>
    <row r="169" spans="1:13" s="89" customFormat="1" x14ac:dyDescent="0.25">
      <c r="A169" s="151" t="s">
        <v>167</v>
      </c>
      <c r="B169" s="69">
        <v>751</v>
      </c>
      <c r="C169" s="69"/>
      <c r="D169" s="69"/>
      <c r="E169" s="69"/>
      <c r="F169" s="69"/>
      <c r="G169" s="69"/>
      <c r="H169" s="69"/>
      <c r="I169" s="69"/>
      <c r="J169" s="176"/>
      <c r="K169" s="110"/>
      <c r="L169" s="125"/>
      <c r="M169" s="65">
        <f t="shared" si="16"/>
        <v>751</v>
      </c>
    </row>
    <row r="170" spans="1:13" s="89" customFormat="1" x14ac:dyDescent="0.25">
      <c r="A170" s="151" t="s">
        <v>168</v>
      </c>
      <c r="B170" s="69">
        <v>39</v>
      </c>
      <c r="C170" s="69"/>
      <c r="D170" s="69"/>
      <c r="E170" s="69"/>
      <c r="F170" s="69"/>
      <c r="G170" s="69"/>
      <c r="H170" s="69"/>
      <c r="I170" s="69"/>
      <c r="J170" s="176"/>
      <c r="K170" s="110"/>
      <c r="L170" s="130"/>
      <c r="M170" s="65">
        <f t="shared" si="16"/>
        <v>39</v>
      </c>
    </row>
    <row r="171" spans="1:13" s="89" customFormat="1" x14ac:dyDescent="0.25">
      <c r="A171" s="151" t="s">
        <v>216</v>
      </c>
      <c r="B171" s="69">
        <v>7</v>
      </c>
      <c r="C171" s="69"/>
      <c r="D171" s="69"/>
      <c r="E171" s="69"/>
      <c r="F171" s="69"/>
      <c r="G171" s="69"/>
      <c r="H171" s="69"/>
      <c r="I171" s="69"/>
      <c r="J171" s="176"/>
      <c r="K171" s="110"/>
      <c r="L171" s="130"/>
      <c r="M171" s="65">
        <f t="shared" si="16"/>
        <v>7</v>
      </c>
    </row>
    <row r="172" spans="1:13" s="89" customFormat="1" x14ac:dyDescent="0.25">
      <c r="A172" s="151" t="s">
        <v>217</v>
      </c>
      <c r="B172" s="69">
        <v>112</v>
      </c>
      <c r="C172" s="69"/>
      <c r="D172" s="69"/>
      <c r="E172" s="69"/>
      <c r="F172" s="69"/>
      <c r="G172" s="69"/>
      <c r="H172" s="69"/>
      <c r="I172" s="69"/>
      <c r="J172" s="176"/>
      <c r="K172" s="110"/>
      <c r="L172" s="130"/>
      <c r="M172" s="65">
        <f t="shared" si="16"/>
        <v>112</v>
      </c>
    </row>
    <row r="173" spans="1:13" s="89" customFormat="1" x14ac:dyDescent="0.25">
      <c r="A173" s="151" t="s">
        <v>218</v>
      </c>
      <c r="B173" s="69">
        <v>22</v>
      </c>
      <c r="C173" s="69"/>
      <c r="D173" s="69"/>
      <c r="E173" s="69"/>
      <c r="F173" s="69"/>
      <c r="G173" s="69"/>
      <c r="H173" s="69"/>
      <c r="I173" s="69"/>
      <c r="J173" s="176"/>
      <c r="K173" s="110"/>
      <c r="L173" s="130"/>
      <c r="M173" s="65">
        <f t="shared" si="16"/>
        <v>22</v>
      </c>
    </row>
    <row r="174" spans="1:13" s="77" customFormat="1" x14ac:dyDescent="0.25">
      <c r="A174" s="151" t="s">
        <v>169</v>
      </c>
      <c r="B174" s="69"/>
      <c r="C174" s="69">
        <v>200</v>
      </c>
      <c r="D174" s="69">
        <v>200</v>
      </c>
      <c r="E174" s="69">
        <v>400</v>
      </c>
      <c r="F174" s="69">
        <v>400</v>
      </c>
      <c r="G174" s="69">
        <v>400</v>
      </c>
      <c r="H174" s="69">
        <v>400</v>
      </c>
      <c r="I174" s="69">
        <v>400</v>
      </c>
      <c r="J174" s="69">
        <v>400</v>
      </c>
      <c r="K174" s="105">
        <v>400</v>
      </c>
      <c r="L174" s="129"/>
      <c r="M174" s="65">
        <f t="shared" si="16"/>
        <v>3200</v>
      </c>
    </row>
    <row r="175" spans="1:13" s="77" customFormat="1" x14ac:dyDescent="0.25">
      <c r="A175" s="151" t="s">
        <v>170</v>
      </c>
      <c r="B175" s="69"/>
      <c r="C175" s="69">
        <v>1000</v>
      </c>
      <c r="D175" s="69">
        <v>1000</v>
      </c>
      <c r="E175" s="69">
        <v>1000</v>
      </c>
      <c r="F175" s="69">
        <v>1000</v>
      </c>
      <c r="G175" s="69">
        <v>1000</v>
      </c>
      <c r="H175" s="69">
        <v>1000</v>
      </c>
      <c r="I175" s="69">
        <v>1000</v>
      </c>
      <c r="J175" s="165">
        <v>500</v>
      </c>
      <c r="K175" s="105"/>
      <c r="L175" s="130"/>
      <c r="M175" s="65">
        <f t="shared" si="16"/>
        <v>7500</v>
      </c>
    </row>
    <row r="176" spans="1:13" s="79" customFormat="1" ht="15" customHeight="1" x14ac:dyDescent="0.25">
      <c r="A176" s="90" t="s">
        <v>171</v>
      </c>
      <c r="B176" s="69"/>
      <c r="C176" s="69"/>
      <c r="D176" s="69"/>
      <c r="E176" s="69"/>
      <c r="F176" s="69"/>
      <c r="G176" s="69"/>
      <c r="H176" s="69"/>
      <c r="I176" s="69"/>
      <c r="J176" s="165"/>
      <c r="K176" s="105"/>
      <c r="L176" s="130"/>
      <c r="M176" s="65"/>
    </row>
    <row r="177" spans="1:13" s="77" customFormat="1" x14ac:dyDescent="0.25">
      <c r="A177" s="151" t="s">
        <v>223</v>
      </c>
      <c r="B177" s="69">
        <v>347</v>
      </c>
      <c r="C177" s="69"/>
      <c r="D177" s="69"/>
      <c r="E177" s="69"/>
      <c r="F177" s="69"/>
      <c r="G177" s="69"/>
      <c r="H177" s="69"/>
      <c r="I177" s="69"/>
      <c r="J177" s="165"/>
      <c r="K177" s="105"/>
      <c r="L177" s="125"/>
      <c r="M177" s="65">
        <f t="shared" ref="M177:M181" si="17">SUM(B177:L177)</f>
        <v>347</v>
      </c>
    </row>
    <row r="178" spans="1:13" s="77" customFormat="1" x14ac:dyDescent="0.25">
      <c r="A178" s="151" t="s">
        <v>224</v>
      </c>
      <c r="B178" s="69">
        <v>247</v>
      </c>
      <c r="C178" s="69">
        <v>1250</v>
      </c>
      <c r="D178" s="69"/>
      <c r="E178" s="69">
        <v>250</v>
      </c>
      <c r="F178" s="69">
        <v>1250</v>
      </c>
      <c r="G178" s="69"/>
      <c r="H178" s="69"/>
      <c r="I178" s="69"/>
      <c r="J178" s="165"/>
      <c r="K178" s="105"/>
      <c r="L178" s="125"/>
      <c r="M178" s="65">
        <f t="shared" si="17"/>
        <v>2997</v>
      </c>
    </row>
    <row r="179" spans="1:13" s="89" customFormat="1" x14ac:dyDescent="0.25">
      <c r="A179" s="151" t="s">
        <v>173</v>
      </c>
      <c r="B179" s="69">
        <v>8</v>
      </c>
      <c r="C179" s="69"/>
      <c r="D179" s="69"/>
      <c r="E179" s="69"/>
      <c r="F179" s="69"/>
      <c r="G179" s="69"/>
      <c r="H179" s="69"/>
      <c r="I179" s="69"/>
      <c r="J179" s="176"/>
      <c r="K179" s="110"/>
      <c r="L179" s="130"/>
      <c r="M179" s="65">
        <f>SUM(B179:L179)</f>
        <v>8</v>
      </c>
    </row>
    <row r="180" spans="1:13" s="77" customFormat="1" x14ac:dyDescent="0.25">
      <c r="A180" s="151" t="s">
        <v>220</v>
      </c>
      <c r="B180" s="69">
        <v>500</v>
      </c>
      <c r="C180" s="69">
        <v>1650</v>
      </c>
      <c r="D180" s="69">
        <v>5000</v>
      </c>
      <c r="E180" s="69">
        <v>5000</v>
      </c>
      <c r="F180" s="69">
        <v>2100</v>
      </c>
      <c r="G180" s="69">
        <v>500</v>
      </c>
      <c r="H180" s="69">
        <v>500</v>
      </c>
      <c r="I180" s="69">
        <v>500</v>
      </c>
      <c r="J180" s="165">
        <v>500</v>
      </c>
      <c r="K180" s="105"/>
      <c r="L180" s="130"/>
      <c r="M180" s="65">
        <f t="shared" si="17"/>
        <v>16250</v>
      </c>
    </row>
    <row r="181" spans="1:13" s="77" customFormat="1" x14ac:dyDescent="0.25">
      <c r="A181" s="151" t="s">
        <v>172</v>
      </c>
      <c r="B181" s="69"/>
      <c r="C181" s="69"/>
      <c r="D181" s="69"/>
      <c r="E181" s="69"/>
      <c r="F181" s="69">
        <v>750</v>
      </c>
      <c r="G181" s="69"/>
      <c r="H181" s="69"/>
      <c r="I181" s="69"/>
      <c r="J181" s="165"/>
      <c r="K181" s="105"/>
      <c r="L181" s="130"/>
      <c r="M181" s="65">
        <f t="shared" si="17"/>
        <v>750</v>
      </c>
    </row>
    <row r="182" spans="1:13" s="79" customFormat="1" ht="15" customHeight="1" x14ac:dyDescent="0.25">
      <c r="A182" s="90" t="s">
        <v>120</v>
      </c>
      <c r="B182" s="69"/>
      <c r="C182" s="69"/>
      <c r="D182" s="69"/>
      <c r="E182" s="69"/>
      <c r="F182" s="69"/>
      <c r="G182" s="69"/>
      <c r="H182" s="69"/>
      <c r="I182" s="69"/>
      <c r="J182" s="165"/>
      <c r="K182" s="105"/>
      <c r="L182" s="130"/>
      <c r="M182" s="65"/>
    </row>
    <row r="183" spans="1:13" s="77" customFormat="1" x14ac:dyDescent="0.25">
      <c r="A183" s="151" t="s">
        <v>174</v>
      </c>
      <c r="B183" s="69"/>
      <c r="C183" s="69"/>
      <c r="D183" s="69"/>
      <c r="E183" s="69">
        <v>1000</v>
      </c>
      <c r="F183" s="69"/>
      <c r="G183" s="69"/>
      <c r="H183" s="69"/>
      <c r="I183" s="69"/>
      <c r="J183" s="165"/>
      <c r="K183" s="105"/>
      <c r="L183" s="130"/>
      <c r="M183" s="65">
        <f t="shared" ref="M183" si="18">SUM(B183:L183)</f>
        <v>1000</v>
      </c>
    </row>
    <row r="184" spans="1:13" s="79" customFormat="1" ht="15" customHeight="1" x14ac:dyDescent="0.25">
      <c r="A184" s="90" t="s">
        <v>175</v>
      </c>
      <c r="B184" s="69"/>
      <c r="C184" s="69"/>
      <c r="D184" s="69"/>
      <c r="E184" s="69"/>
      <c r="F184" s="69"/>
      <c r="G184" s="69"/>
      <c r="H184" s="69"/>
      <c r="I184" s="69"/>
      <c r="J184" s="165"/>
      <c r="K184" s="105"/>
      <c r="L184" s="130"/>
      <c r="M184" s="65"/>
    </row>
    <row r="185" spans="1:13" s="77" customFormat="1" ht="26.4" x14ac:dyDescent="0.25">
      <c r="A185" s="57" t="s">
        <v>204</v>
      </c>
      <c r="B185" s="69">
        <v>732</v>
      </c>
      <c r="C185" s="69"/>
      <c r="D185" s="69"/>
      <c r="E185" s="69"/>
      <c r="F185" s="69"/>
      <c r="G185" s="69"/>
      <c r="H185" s="69"/>
      <c r="I185" s="69"/>
      <c r="J185" s="165"/>
      <c r="K185" s="105"/>
      <c r="L185" s="130"/>
      <c r="M185" s="65">
        <f>SUM(B185:L185)</f>
        <v>732</v>
      </c>
    </row>
    <row r="186" spans="1:13" s="79" customFormat="1" ht="15" customHeight="1" x14ac:dyDescent="0.25">
      <c r="A186" s="90" t="s">
        <v>176</v>
      </c>
      <c r="B186" s="69"/>
      <c r="C186" s="69"/>
      <c r="D186" s="69"/>
      <c r="E186" s="69"/>
      <c r="F186" s="69"/>
      <c r="G186" s="69"/>
      <c r="H186" s="69"/>
      <c r="I186" s="69"/>
      <c r="J186" s="165"/>
      <c r="K186" s="105"/>
      <c r="L186" s="125"/>
      <c r="M186" s="65"/>
    </row>
    <row r="187" spans="1:13" s="77" customFormat="1" x14ac:dyDescent="0.25">
      <c r="A187" s="151" t="s">
        <v>177</v>
      </c>
      <c r="B187" s="69">
        <v>2560</v>
      </c>
      <c r="C187" s="69">
        <v>4700</v>
      </c>
      <c r="D187" s="69">
        <v>4700</v>
      </c>
      <c r="E187" s="69">
        <v>4700</v>
      </c>
      <c r="F187" s="69">
        <v>4700</v>
      </c>
      <c r="G187" s="69">
        <v>4700</v>
      </c>
      <c r="H187" s="69">
        <v>4700</v>
      </c>
      <c r="I187" s="69">
        <v>4700</v>
      </c>
      <c r="J187" s="165">
        <v>4700</v>
      </c>
      <c r="K187" s="105"/>
      <c r="L187" s="126"/>
      <c r="M187" s="65">
        <f t="shared" ref="M187:M192" si="19">SUM(B187:L187)</f>
        <v>40160</v>
      </c>
    </row>
    <row r="188" spans="1:13" s="77" customFormat="1" ht="15" customHeight="1" x14ac:dyDescent="0.25">
      <c r="A188" s="151" t="s">
        <v>178</v>
      </c>
      <c r="B188" s="69"/>
      <c r="C188" s="69"/>
      <c r="D188" s="69">
        <v>1000</v>
      </c>
      <c r="E188" s="69">
        <v>2000</v>
      </c>
      <c r="F188" s="69">
        <v>2000</v>
      </c>
      <c r="G188" s="69">
        <v>2000</v>
      </c>
      <c r="H188" s="69">
        <v>2000</v>
      </c>
      <c r="I188" s="69">
        <v>2000</v>
      </c>
      <c r="J188" s="165">
        <v>2000</v>
      </c>
      <c r="K188" s="105"/>
      <c r="L188" s="127"/>
      <c r="M188" s="65">
        <f t="shared" si="19"/>
        <v>13000</v>
      </c>
    </row>
    <row r="189" spans="1:13" s="77" customFormat="1" ht="15" customHeight="1" x14ac:dyDescent="0.25">
      <c r="A189" s="151" t="s">
        <v>179</v>
      </c>
      <c r="B189" s="69">
        <v>499</v>
      </c>
      <c r="C189" s="69"/>
      <c r="D189" s="69"/>
      <c r="E189" s="69"/>
      <c r="F189" s="69"/>
      <c r="G189" s="69"/>
      <c r="H189" s="69"/>
      <c r="I189" s="69"/>
      <c r="J189" s="165"/>
      <c r="K189" s="105"/>
      <c r="L189" s="129"/>
      <c r="M189" s="65">
        <f t="shared" si="19"/>
        <v>499</v>
      </c>
    </row>
    <row r="190" spans="1:13" s="89" customFormat="1" ht="15" customHeight="1" x14ac:dyDescent="0.25">
      <c r="A190" s="151" t="s">
        <v>180</v>
      </c>
      <c r="B190" s="69">
        <v>2761</v>
      </c>
      <c r="C190" s="69">
        <v>3000</v>
      </c>
      <c r="D190" s="69"/>
      <c r="E190" s="69"/>
      <c r="F190" s="69"/>
      <c r="G190" s="69"/>
      <c r="H190" s="69"/>
      <c r="I190" s="69"/>
      <c r="J190" s="176"/>
      <c r="K190" s="110"/>
      <c r="L190" s="127"/>
      <c r="M190" s="65">
        <f t="shared" si="19"/>
        <v>5761</v>
      </c>
    </row>
    <row r="191" spans="1:13" s="89" customFormat="1" ht="15" customHeight="1" x14ac:dyDescent="0.25">
      <c r="A191" s="151" t="s">
        <v>181</v>
      </c>
      <c r="B191" s="69">
        <v>1739</v>
      </c>
      <c r="C191" s="69"/>
      <c r="D191" s="69"/>
      <c r="E191" s="69"/>
      <c r="F191" s="69"/>
      <c r="G191" s="69"/>
      <c r="H191" s="69"/>
      <c r="I191" s="69"/>
      <c r="J191" s="176"/>
      <c r="K191" s="110"/>
      <c r="L191" s="123"/>
      <c r="M191" s="65">
        <f t="shared" si="19"/>
        <v>1739</v>
      </c>
    </row>
    <row r="192" spans="1:13" s="77" customFormat="1" x14ac:dyDescent="0.25">
      <c r="A192" s="151" t="s">
        <v>61</v>
      </c>
      <c r="B192" s="69">
        <v>2598</v>
      </c>
      <c r="C192" s="69">
        <v>3400</v>
      </c>
      <c r="D192" s="69">
        <v>3400</v>
      </c>
      <c r="E192" s="69">
        <v>3400</v>
      </c>
      <c r="F192" s="69">
        <v>3400</v>
      </c>
      <c r="G192" s="69">
        <v>3400</v>
      </c>
      <c r="H192" s="69">
        <v>3400</v>
      </c>
      <c r="I192" s="69">
        <v>3400</v>
      </c>
      <c r="J192" s="165">
        <v>3100</v>
      </c>
      <c r="K192" s="105">
        <v>800</v>
      </c>
      <c r="L192" s="126"/>
      <c r="M192" s="65">
        <f t="shared" si="19"/>
        <v>30298</v>
      </c>
    </row>
    <row r="193" spans="1:13" s="79" customFormat="1" ht="15" customHeight="1" x14ac:dyDescent="0.25">
      <c r="A193" s="90" t="s">
        <v>182</v>
      </c>
      <c r="B193" s="69"/>
      <c r="C193" s="69"/>
      <c r="D193" s="69"/>
      <c r="E193" s="69"/>
      <c r="F193" s="69"/>
      <c r="G193" s="69"/>
      <c r="H193" s="69"/>
      <c r="I193" s="69"/>
      <c r="J193" s="165"/>
      <c r="K193" s="105"/>
      <c r="L193" s="126"/>
      <c r="M193" s="65"/>
    </row>
    <row r="194" spans="1:13" s="77" customFormat="1" ht="15" customHeight="1" x14ac:dyDescent="0.25">
      <c r="A194" s="151" t="s">
        <v>183</v>
      </c>
      <c r="B194" s="69">
        <v>2506</v>
      </c>
      <c r="C194" s="69"/>
      <c r="D194" s="69"/>
      <c r="E194" s="69"/>
      <c r="F194" s="69"/>
      <c r="G194" s="69"/>
      <c r="H194" s="69"/>
      <c r="I194" s="69"/>
      <c r="J194" s="165"/>
      <c r="K194" s="105"/>
      <c r="L194" s="126"/>
      <c r="M194" s="65">
        <f t="shared" ref="M194:M195" si="20">SUM(B194:L194)</f>
        <v>2506</v>
      </c>
    </row>
    <row r="195" spans="1:13" s="77" customFormat="1" x14ac:dyDescent="0.25">
      <c r="A195" s="151" t="s">
        <v>184</v>
      </c>
      <c r="B195" s="69">
        <v>3009</v>
      </c>
      <c r="C195" s="69">
        <v>2491</v>
      </c>
      <c r="D195" s="69">
        <v>2491</v>
      </c>
      <c r="E195" s="69">
        <v>2491</v>
      </c>
      <c r="F195" s="69">
        <v>2491</v>
      </c>
      <c r="G195" s="69">
        <v>2491</v>
      </c>
      <c r="H195" s="69">
        <v>2491</v>
      </c>
      <c r="I195" s="69">
        <v>2491</v>
      </c>
      <c r="J195" s="165">
        <v>2491</v>
      </c>
      <c r="K195" s="105"/>
      <c r="L195" s="126"/>
      <c r="M195" s="65">
        <f t="shared" si="20"/>
        <v>22937</v>
      </c>
    </row>
    <row r="196" spans="1:13" s="79" customFormat="1" ht="15" customHeight="1" x14ac:dyDescent="0.25">
      <c r="A196" s="90" t="s">
        <v>185</v>
      </c>
      <c r="B196" s="69"/>
      <c r="C196" s="69"/>
      <c r="D196" s="69"/>
      <c r="E196" s="69"/>
      <c r="F196" s="69"/>
      <c r="G196" s="69"/>
      <c r="H196" s="69"/>
      <c r="I196" s="69"/>
      <c r="J196" s="165"/>
      <c r="K196" s="105"/>
      <c r="L196" s="126"/>
      <c r="M196" s="65"/>
    </row>
    <row r="197" spans="1:13" s="77" customFormat="1" ht="15" customHeight="1" x14ac:dyDescent="0.25">
      <c r="A197" s="58" t="s">
        <v>188</v>
      </c>
      <c r="B197" s="69">
        <v>771</v>
      </c>
      <c r="C197" s="69">
        <v>600</v>
      </c>
      <c r="D197" s="69">
        <v>600</v>
      </c>
      <c r="E197" s="69">
        <v>600</v>
      </c>
      <c r="F197" s="69">
        <v>600</v>
      </c>
      <c r="G197" s="69">
        <v>600</v>
      </c>
      <c r="H197" s="69">
        <v>600</v>
      </c>
      <c r="I197" s="69">
        <v>600</v>
      </c>
      <c r="J197" s="165">
        <v>925</v>
      </c>
      <c r="K197" s="105">
        <v>325</v>
      </c>
      <c r="L197" s="120"/>
      <c r="M197" s="65">
        <f>SUM(B197:L197)</f>
        <v>6221</v>
      </c>
    </row>
    <row r="198" spans="1:13" s="77" customFormat="1" ht="15" customHeight="1" x14ac:dyDescent="0.25">
      <c r="A198" s="151" t="s">
        <v>186</v>
      </c>
      <c r="B198" s="69">
        <v>841</v>
      </c>
      <c r="C198" s="69"/>
      <c r="D198" s="69"/>
      <c r="E198" s="69"/>
      <c r="F198" s="69"/>
      <c r="G198" s="69"/>
      <c r="H198" s="69"/>
      <c r="I198" s="69"/>
      <c r="J198" s="165"/>
      <c r="K198" s="105"/>
      <c r="L198" s="126"/>
      <c r="M198" s="65">
        <f t="shared" ref="M198:M202" si="21">SUM(B198:L198)</f>
        <v>841</v>
      </c>
    </row>
    <row r="199" spans="1:13" s="77" customFormat="1" ht="15" customHeight="1" x14ac:dyDescent="0.25">
      <c r="A199" s="151" t="s">
        <v>187</v>
      </c>
      <c r="B199" s="69">
        <v>450</v>
      </c>
      <c r="C199" s="69"/>
      <c r="D199" s="69"/>
      <c r="E199" s="69"/>
      <c r="F199" s="69"/>
      <c r="G199" s="69"/>
      <c r="H199" s="69"/>
      <c r="I199" s="69"/>
      <c r="J199" s="165"/>
      <c r="K199" s="105"/>
      <c r="L199" s="120"/>
      <c r="M199" s="65">
        <f t="shared" si="21"/>
        <v>450</v>
      </c>
    </row>
    <row r="200" spans="1:13" s="77" customFormat="1" ht="15" customHeight="1" x14ac:dyDescent="0.25">
      <c r="A200" s="58" t="s">
        <v>219</v>
      </c>
      <c r="B200" s="69">
        <v>255</v>
      </c>
      <c r="C200" s="69"/>
      <c r="D200" s="69"/>
      <c r="E200" s="69"/>
      <c r="F200" s="69"/>
      <c r="G200" s="69"/>
      <c r="H200" s="69"/>
      <c r="I200" s="69"/>
      <c r="J200" s="165"/>
      <c r="K200" s="105"/>
      <c r="L200" s="120"/>
      <c r="M200" s="65">
        <f t="shared" si="21"/>
        <v>255</v>
      </c>
    </row>
    <row r="201" spans="1:13" s="93" customFormat="1" x14ac:dyDescent="0.25">
      <c r="A201" s="151" t="s">
        <v>189</v>
      </c>
      <c r="B201" s="69">
        <v>239</v>
      </c>
      <c r="C201" s="69"/>
      <c r="D201" s="69"/>
      <c r="E201" s="69"/>
      <c r="F201" s="69"/>
      <c r="G201" s="69"/>
      <c r="H201" s="69"/>
      <c r="I201" s="69"/>
      <c r="J201" s="167"/>
      <c r="K201" s="107"/>
      <c r="L201" s="120"/>
      <c r="M201" s="65">
        <f t="shared" si="21"/>
        <v>239</v>
      </c>
    </row>
    <row r="202" spans="1:13" s="77" customFormat="1" ht="15" customHeight="1" x14ac:dyDescent="0.25">
      <c r="A202" s="151" t="s">
        <v>60</v>
      </c>
      <c r="B202" s="69">
        <v>1534</v>
      </c>
      <c r="C202" s="69"/>
      <c r="D202" s="69"/>
      <c r="E202" s="69"/>
      <c r="F202" s="69"/>
      <c r="G202" s="69"/>
      <c r="H202" s="69"/>
      <c r="I202" s="69"/>
      <c r="J202" s="165"/>
      <c r="K202" s="105"/>
      <c r="L202" s="120"/>
      <c r="M202" s="65">
        <f t="shared" si="21"/>
        <v>1534</v>
      </c>
    </row>
    <row r="203" spans="1:13" s="77" customFormat="1" x14ac:dyDescent="0.25">
      <c r="A203" s="152"/>
      <c r="B203" s="69"/>
      <c r="C203" s="69"/>
      <c r="D203" s="69"/>
      <c r="E203" s="69"/>
      <c r="F203" s="69"/>
      <c r="G203" s="69"/>
      <c r="H203" s="69"/>
      <c r="I203" s="69"/>
      <c r="J203" s="165"/>
      <c r="K203" s="105"/>
      <c r="L203" s="120"/>
      <c r="M203" s="65"/>
    </row>
    <row r="204" spans="1:13" s="79" customFormat="1" ht="15" customHeight="1" x14ac:dyDescent="0.25">
      <c r="A204" s="90" t="s">
        <v>133</v>
      </c>
      <c r="B204" s="69"/>
      <c r="C204" s="69"/>
      <c r="D204" s="69"/>
      <c r="E204" s="69"/>
      <c r="F204" s="69"/>
      <c r="G204" s="69"/>
      <c r="H204" s="69"/>
      <c r="I204" s="69"/>
      <c r="J204" s="165"/>
      <c r="K204" s="105"/>
      <c r="L204" s="120"/>
      <c r="M204" s="65"/>
    </row>
    <row r="205" spans="1:13" s="77" customFormat="1" ht="15" customHeight="1" x14ac:dyDescent="0.25">
      <c r="A205" s="151" t="s">
        <v>190</v>
      </c>
      <c r="B205" s="69"/>
      <c r="C205" s="69">
        <v>1900</v>
      </c>
      <c r="D205" s="69">
        <v>965</v>
      </c>
      <c r="E205" s="69">
        <v>1066</v>
      </c>
      <c r="F205" s="69">
        <v>863</v>
      </c>
      <c r="G205" s="69"/>
      <c r="H205" s="69"/>
      <c r="I205" s="69"/>
      <c r="J205" s="165"/>
      <c r="K205" s="105"/>
      <c r="L205" s="120"/>
      <c r="M205" s="65">
        <f t="shared" ref="M205:M206" si="22">SUM(B205:L205)</f>
        <v>4794</v>
      </c>
    </row>
    <row r="206" spans="1:13" s="77" customFormat="1" x14ac:dyDescent="0.25">
      <c r="A206" s="151" t="s">
        <v>191</v>
      </c>
      <c r="B206" s="69"/>
      <c r="C206" s="69">
        <v>1950</v>
      </c>
      <c r="D206" s="69">
        <v>2900</v>
      </c>
      <c r="E206" s="69">
        <v>1150</v>
      </c>
      <c r="F206" s="69"/>
      <c r="G206" s="69"/>
      <c r="H206" s="69"/>
      <c r="I206" s="69"/>
      <c r="J206" s="165"/>
      <c r="K206" s="105"/>
      <c r="L206" s="120"/>
      <c r="M206" s="65">
        <f t="shared" si="22"/>
        <v>6000</v>
      </c>
    </row>
    <row r="207" spans="1:13" s="79" customFormat="1" ht="13.8" thickBot="1" x14ac:dyDescent="0.3">
      <c r="A207" s="153"/>
      <c r="B207" s="92"/>
      <c r="C207" s="92"/>
      <c r="D207" s="92"/>
      <c r="E207" s="92"/>
      <c r="F207" s="92"/>
      <c r="G207" s="92"/>
      <c r="H207" s="92"/>
      <c r="I207" s="92"/>
      <c r="J207" s="177"/>
      <c r="K207" s="111"/>
      <c r="L207" s="120"/>
      <c r="M207" s="65"/>
    </row>
    <row r="208" spans="1:13" s="178" customFormat="1" ht="13.8" thickBot="1" x14ac:dyDescent="0.3">
      <c r="A208" s="73" t="s">
        <v>244</v>
      </c>
      <c r="B208" s="84">
        <f t="shared" ref="B208:K208" si="23">SUM(B126:B207)</f>
        <v>44676</v>
      </c>
      <c r="C208" s="84">
        <f t="shared" si="23"/>
        <v>42237</v>
      </c>
      <c r="D208" s="84">
        <f t="shared" si="23"/>
        <v>47109</v>
      </c>
      <c r="E208" s="84">
        <f t="shared" si="23"/>
        <v>36498</v>
      </c>
      <c r="F208" s="84">
        <f t="shared" si="23"/>
        <v>49394</v>
      </c>
      <c r="G208" s="84">
        <f t="shared" si="23"/>
        <v>27843</v>
      </c>
      <c r="H208" s="84">
        <f t="shared" si="23"/>
        <v>28986</v>
      </c>
      <c r="I208" s="84">
        <f t="shared" si="23"/>
        <v>30686</v>
      </c>
      <c r="J208" s="172">
        <f t="shared" si="23"/>
        <v>30501</v>
      </c>
      <c r="K208" s="85">
        <f t="shared" si="23"/>
        <v>18845</v>
      </c>
      <c r="L208" s="120"/>
      <c r="M208" s="109">
        <f>SUM(M126:M207)</f>
        <v>356775</v>
      </c>
    </row>
    <row r="210" spans="1:13" s="77" customFormat="1" ht="15.6" customHeight="1" x14ac:dyDescent="0.3">
      <c r="A210" s="76" t="s">
        <v>242</v>
      </c>
      <c r="B210" s="132"/>
      <c r="C210" s="78"/>
      <c r="D210" s="78"/>
      <c r="E210" s="78"/>
      <c r="F210" s="78"/>
      <c r="G210" s="78"/>
      <c r="H210" s="78"/>
      <c r="I210" s="78"/>
      <c r="L210" s="59"/>
      <c r="M210" s="131"/>
    </row>
    <row r="211" spans="1:13" s="82" customFormat="1" ht="16.2" customHeight="1" thickBot="1" x14ac:dyDescent="0.3">
      <c r="A211" s="80"/>
      <c r="B211" s="133"/>
      <c r="C211" s="81"/>
      <c r="D211" s="81"/>
      <c r="E211" s="81"/>
      <c r="F211" s="81"/>
      <c r="G211" s="81"/>
      <c r="H211" s="81"/>
      <c r="I211" s="81"/>
      <c r="L211" s="59"/>
      <c r="M211" s="55"/>
    </row>
    <row r="212" spans="1:13" s="83" customFormat="1" ht="64.95" customHeight="1" x14ac:dyDescent="0.25">
      <c r="A212" s="154" t="s">
        <v>100</v>
      </c>
      <c r="B212" s="155" t="s">
        <v>59</v>
      </c>
      <c r="C212" s="155" t="s">
        <v>225</v>
      </c>
      <c r="D212" s="155" t="s">
        <v>226</v>
      </c>
      <c r="E212" s="155" t="s">
        <v>227</v>
      </c>
      <c r="F212" s="155" t="s">
        <v>228</v>
      </c>
      <c r="G212" s="155" t="s">
        <v>229</v>
      </c>
      <c r="H212" s="155" t="s">
        <v>230</v>
      </c>
      <c r="I212" s="155" t="s">
        <v>231</v>
      </c>
      <c r="J212" s="163" t="s">
        <v>232</v>
      </c>
      <c r="K212" s="156" t="s">
        <v>236</v>
      </c>
      <c r="L212" s="96"/>
      <c r="M212" s="157" t="s">
        <v>239</v>
      </c>
    </row>
    <row r="213" spans="1:13" s="83" customFormat="1" ht="13.95" customHeight="1" x14ac:dyDescent="0.25">
      <c r="A213" s="141"/>
      <c r="B213" s="62" t="s">
        <v>58</v>
      </c>
      <c r="C213" s="62" t="s">
        <v>58</v>
      </c>
      <c r="D213" s="62" t="s">
        <v>58</v>
      </c>
      <c r="E213" s="62" t="s">
        <v>58</v>
      </c>
      <c r="F213" s="62" t="s">
        <v>58</v>
      </c>
      <c r="G213" s="62" t="s">
        <v>58</v>
      </c>
      <c r="H213" s="62" t="s">
        <v>58</v>
      </c>
      <c r="I213" s="62" t="s">
        <v>58</v>
      </c>
      <c r="J213" s="164" t="s">
        <v>58</v>
      </c>
      <c r="K213" s="104" t="s">
        <v>58</v>
      </c>
      <c r="L213" s="96"/>
      <c r="M213" s="63" t="s">
        <v>58</v>
      </c>
    </row>
    <row r="214" spans="1:13" s="66" customFormat="1" ht="45" customHeight="1" x14ac:dyDescent="0.25">
      <c r="A214" s="142" t="s">
        <v>235</v>
      </c>
      <c r="B214" s="69">
        <v>850</v>
      </c>
      <c r="C214" s="69">
        <v>500</v>
      </c>
      <c r="D214" s="69">
        <v>500</v>
      </c>
      <c r="E214" s="69">
        <v>500</v>
      </c>
      <c r="F214" s="69">
        <v>500</v>
      </c>
      <c r="G214" s="69">
        <v>500</v>
      </c>
      <c r="H214" s="69">
        <v>500</v>
      </c>
      <c r="I214" s="69">
        <v>500</v>
      </c>
      <c r="J214" s="165">
        <v>2500</v>
      </c>
      <c r="K214" s="105">
        <v>2000</v>
      </c>
      <c r="L214" s="97"/>
      <c r="M214" s="65">
        <f>SUM(B214:L214)</f>
        <v>8850</v>
      </c>
    </row>
    <row r="215" spans="1:13" s="77" customFormat="1" ht="13.8" thickBot="1" x14ac:dyDescent="0.3">
      <c r="A215" s="180"/>
      <c r="B215" s="181"/>
      <c r="C215" s="181"/>
      <c r="D215" s="181"/>
      <c r="E215" s="181"/>
      <c r="F215" s="181"/>
      <c r="G215" s="181"/>
      <c r="H215" s="181"/>
      <c r="I215" s="181"/>
      <c r="J215" s="182"/>
      <c r="K215" s="183"/>
      <c r="L215" s="120"/>
      <c r="M215" s="184"/>
    </row>
    <row r="216" spans="1:13" s="178" customFormat="1" ht="15" customHeight="1" thickBot="1" x14ac:dyDescent="0.3">
      <c r="A216" s="73" t="s">
        <v>244</v>
      </c>
      <c r="B216" s="84">
        <f t="shared" ref="B216:K216" si="24">SUM(B214:B214)</f>
        <v>850</v>
      </c>
      <c r="C216" s="84">
        <f t="shared" si="24"/>
        <v>500</v>
      </c>
      <c r="D216" s="84">
        <f t="shared" si="24"/>
        <v>500</v>
      </c>
      <c r="E216" s="84">
        <f t="shared" si="24"/>
        <v>500</v>
      </c>
      <c r="F216" s="84">
        <f t="shared" si="24"/>
        <v>500</v>
      </c>
      <c r="G216" s="84">
        <f t="shared" si="24"/>
        <v>500</v>
      </c>
      <c r="H216" s="84">
        <f t="shared" si="24"/>
        <v>500</v>
      </c>
      <c r="I216" s="84">
        <f t="shared" si="24"/>
        <v>500</v>
      </c>
      <c r="J216" s="172">
        <f t="shared" si="24"/>
        <v>2500</v>
      </c>
      <c r="K216" s="85">
        <f t="shared" si="24"/>
        <v>2000</v>
      </c>
      <c r="L216" s="100"/>
      <c r="M216" s="109">
        <f>SUM(M214)</f>
        <v>8850</v>
      </c>
    </row>
    <row r="217" spans="1:13" s="178" customFormat="1" ht="15" customHeight="1" x14ac:dyDescent="0.25">
      <c r="A217" s="162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66"/>
      <c r="M217" s="174"/>
    </row>
    <row r="218" spans="1:13" s="94" customFormat="1" ht="15.6" customHeight="1" x14ac:dyDescent="0.3">
      <c r="A218" s="76" t="s">
        <v>243</v>
      </c>
      <c r="B218" s="134"/>
      <c r="C218" s="78"/>
      <c r="D218" s="78"/>
      <c r="E218" s="78"/>
      <c r="F218" s="78"/>
      <c r="G218" s="78"/>
      <c r="H218" s="78"/>
      <c r="I218" s="78"/>
    </row>
    <row r="219" spans="1:13" s="95" customFormat="1" ht="16.2" customHeight="1" thickBot="1" x14ac:dyDescent="0.3">
      <c r="A219" s="80"/>
      <c r="B219" s="135"/>
      <c r="C219" s="81"/>
      <c r="D219" s="81"/>
      <c r="E219" s="81"/>
      <c r="F219" s="81"/>
      <c r="G219" s="81"/>
      <c r="H219" s="81"/>
      <c r="I219" s="87"/>
    </row>
    <row r="220" spans="1:13" s="83" customFormat="1" ht="64.95" customHeight="1" x14ac:dyDescent="0.25">
      <c r="A220" s="154" t="s">
        <v>100</v>
      </c>
      <c r="B220" s="155" t="s">
        <v>59</v>
      </c>
      <c r="C220" s="155" t="s">
        <v>225</v>
      </c>
      <c r="D220" s="155" t="s">
        <v>226</v>
      </c>
      <c r="E220" s="155" t="s">
        <v>227</v>
      </c>
      <c r="F220" s="155" t="s">
        <v>228</v>
      </c>
      <c r="G220" s="155" t="s">
        <v>229</v>
      </c>
      <c r="H220" s="155" t="s">
        <v>230</v>
      </c>
      <c r="I220" s="155" t="s">
        <v>231</v>
      </c>
      <c r="J220" s="163" t="s">
        <v>232</v>
      </c>
      <c r="K220" s="156" t="s">
        <v>236</v>
      </c>
      <c r="L220" s="96"/>
      <c r="M220" s="157" t="s">
        <v>239</v>
      </c>
    </row>
    <row r="221" spans="1:13" s="83" customFormat="1" ht="13.95" customHeight="1" x14ac:dyDescent="0.25">
      <c r="A221" s="141"/>
      <c r="B221" s="62" t="s">
        <v>58</v>
      </c>
      <c r="C221" s="62" t="s">
        <v>58</v>
      </c>
      <c r="D221" s="62" t="s">
        <v>58</v>
      </c>
      <c r="E221" s="62" t="s">
        <v>58</v>
      </c>
      <c r="F221" s="62" t="s">
        <v>58</v>
      </c>
      <c r="G221" s="62" t="s">
        <v>58</v>
      </c>
      <c r="H221" s="62" t="s">
        <v>58</v>
      </c>
      <c r="I221" s="62" t="s">
        <v>58</v>
      </c>
      <c r="J221" s="164" t="s">
        <v>58</v>
      </c>
      <c r="K221" s="104" t="s">
        <v>58</v>
      </c>
      <c r="L221" s="96"/>
      <c r="M221" s="63" t="s">
        <v>58</v>
      </c>
    </row>
    <row r="222" spans="1:13" s="66" customFormat="1" ht="45" customHeight="1" x14ac:dyDescent="0.25">
      <c r="A222" s="142" t="s">
        <v>234</v>
      </c>
      <c r="B222" s="69">
        <v>2169</v>
      </c>
      <c r="C222" s="69">
        <v>250</v>
      </c>
      <c r="D222" s="69">
        <v>500</v>
      </c>
      <c r="E222" s="69">
        <v>250</v>
      </c>
      <c r="F222" s="69">
        <v>500</v>
      </c>
      <c r="G222" s="69">
        <v>250</v>
      </c>
      <c r="H222" s="69">
        <v>500</v>
      </c>
      <c r="I222" s="69">
        <v>250</v>
      </c>
      <c r="J222" s="165">
        <v>1000</v>
      </c>
      <c r="K222" s="105">
        <v>500</v>
      </c>
      <c r="L222" s="97"/>
      <c r="M222" s="65">
        <f>SUM(B222:L222)</f>
        <v>6169</v>
      </c>
    </row>
    <row r="223" spans="1:13" s="79" customFormat="1" ht="13.8" thickBot="1" x14ac:dyDescent="0.3">
      <c r="A223" s="153"/>
      <c r="B223" s="92"/>
      <c r="C223" s="92"/>
      <c r="D223" s="92"/>
      <c r="E223" s="92"/>
      <c r="F223" s="92"/>
      <c r="G223" s="92"/>
      <c r="H223" s="92"/>
      <c r="I223" s="92"/>
      <c r="J223" s="177"/>
      <c r="K223" s="111"/>
      <c r="L223" s="120"/>
      <c r="M223" s="65"/>
    </row>
    <row r="224" spans="1:13" s="178" customFormat="1" ht="15" customHeight="1" thickBot="1" x14ac:dyDescent="0.3">
      <c r="A224" s="73" t="s">
        <v>244</v>
      </c>
      <c r="B224" s="84">
        <f t="shared" ref="B224:K224" si="25">SUM(B222:B222)</f>
        <v>2169</v>
      </c>
      <c r="C224" s="84">
        <f t="shared" si="25"/>
        <v>250</v>
      </c>
      <c r="D224" s="84">
        <f t="shared" si="25"/>
        <v>500</v>
      </c>
      <c r="E224" s="84">
        <f t="shared" si="25"/>
        <v>250</v>
      </c>
      <c r="F224" s="84">
        <f t="shared" si="25"/>
        <v>500</v>
      </c>
      <c r="G224" s="84">
        <f t="shared" si="25"/>
        <v>250</v>
      </c>
      <c r="H224" s="84">
        <f t="shared" si="25"/>
        <v>500</v>
      </c>
      <c r="I224" s="84">
        <f t="shared" si="25"/>
        <v>250</v>
      </c>
      <c r="J224" s="172">
        <f t="shared" si="25"/>
        <v>1000</v>
      </c>
      <c r="K224" s="85">
        <f t="shared" si="25"/>
        <v>500</v>
      </c>
      <c r="L224" s="100"/>
      <c r="M224" s="109">
        <f>SUM(M222)</f>
        <v>6169</v>
      </c>
    </row>
  </sheetData>
  <pageMargins left="0.51181102362204722" right="0.51181102362204722" top="0.55118110236220474" bottom="0.55118110236220474" header="0.31496062992125984" footer="0.31496062992125984"/>
  <pageSetup paperSize="8" orientation="landscape" r:id="rId1"/>
  <headerFooter>
    <oddFooter>&amp;R&amp;A</oddFooter>
  </headerFooter>
  <rowBreaks count="4" manualBreakCount="4">
    <brk id="54" max="16383" man="1"/>
    <brk id="79" max="16383" man="1"/>
    <brk id="120" max="16383" man="1"/>
    <brk id="20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Tracking August to Nov</vt:lpstr>
      <vt:lpstr>Track Aug to Oct updated 15.11</vt:lpstr>
      <vt:lpstr>Tracking August (rev) to Sep</vt:lpstr>
      <vt:lpstr>Tracking June to August</vt:lpstr>
      <vt:lpstr>Tracking June to July</vt:lpstr>
      <vt:lpstr>Tracking April to June</vt:lpstr>
      <vt:lpstr>Cap Prog 1516-2425 Summary</vt:lpstr>
      <vt:lpstr>Cap Prog 1516-2425</vt:lpstr>
      <vt:lpstr>'Cap Prog 1516-2425 Summary'!Print_Titles</vt:lpstr>
    </vt:vector>
  </TitlesOfParts>
  <Company>Fujitsu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jackie.macdonald3@highland.gov.uk</dc:creator>
  <cp:lastModifiedBy>Alison McDonald</cp:lastModifiedBy>
  <cp:lastPrinted>2016-02-15T11:47:43Z</cp:lastPrinted>
  <dcterms:created xsi:type="dcterms:W3CDTF">2011-05-04T10:27:22Z</dcterms:created>
  <dcterms:modified xsi:type="dcterms:W3CDTF">2016-02-15T11:47:58Z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575732371</vt:i4>
  </property>
  <property fmtid="{D5CDD505-2E9C-101B-9397-08002B2CF9AE}" pid="3" name="_NewReviewCycle">
    <vt:lpwstr/>
  </property>
  <property fmtid="{D5CDD505-2E9C-101B-9397-08002B2CF9AE}" pid="4" name="_EmailSubject">
    <vt:lpwstr>Capital Programme on Internet</vt:lpwstr>
  </property>
  <property fmtid="{D5CDD505-2E9C-101B-9397-08002B2CF9AE}" pid="5" name="_AuthorEmail">
    <vt:lpwstr>Alison.McDonald@highland.gov.uk</vt:lpwstr>
  </property>
  <property fmtid="{D5CDD505-2E9C-101B-9397-08002B2CF9AE}" pid="6" name="_AuthorEmailDisplayName">
    <vt:lpwstr>Alison McDonald - Finance</vt:lpwstr>
  </property>
  <property fmtid="{D5CDD505-2E9C-101B-9397-08002B2CF9AE}" pid="7" name="_PreviousAdHocReviewCycleID">
    <vt:i4>-512618820</vt:i4>
  </property>
</Properties>
</file>