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66925"/>
  <mc:AlternateContent xmlns:mc="http://schemas.openxmlformats.org/markup-compatibility/2006">
    <mc:Choice Requires="x15">
      <x15ac:absPath xmlns:x15ac="http://schemas.microsoft.com/office/spreadsheetml/2010/11/ac" url="E:\Raasay LDO\Pontoon\"/>
    </mc:Choice>
  </mc:AlternateContent>
  <xr:revisionPtr revIDLastSave="0" documentId="13_ncr:1_{71070289-62FC-4546-AA95-E135916576D7}" xr6:coauthVersionLast="46" xr6:coauthVersionMax="46" xr10:uidLastSave="{00000000-0000-0000-0000-000000000000}"/>
  <bookViews>
    <workbookView xWindow="-120" yWindow="-120" windowWidth="20730" windowHeight="11160" xr2:uid="{00000000-000D-0000-FFFF-FFFF00000000}"/>
  </bookViews>
  <sheets>
    <sheet name="5 year 12 berth" sheetId="4" r:id="rId1"/>
    <sheet name="Summary" sheetId="5" state="hidden" r:id="rId2"/>
    <sheet name="Summary 12 berth" sheetId="6" r:id="rId3"/>
    <sheet name="Summary 6 berth" sheetId="3" r:id="rId4"/>
    <sheet name="Summary 26 berth" sheetId="2" r:id="rId5"/>
  </sheets>
  <externalReferences>
    <externalReference r:id="rId6"/>
  </externalReferences>
  <definedNames>
    <definedName name="FULLREP">'[1]Projns 1:Calc'!$A$1:$R$279</definedName>
    <definedName name="GRANTS">[1]Calc!$B$74</definedName>
    <definedName name="_xlnm.Print_Area" localSheetId="2">'Summary 12 berth'!$A$1:$K$49</definedName>
    <definedName name="_xlnm.Print_Area" localSheetId="3">'Summary 6 berth'!$A$1:$K$49</definedName>
    <definedName name="TABLEVAT">[1]VATtable!$B$4:$C$15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4" l="1"/>
  <c r="H11" i="4"/>
  <c r="H13" i="4" s="1"/>
  <c r="H12" i="4" l="1"/>
  <c r="H14" i="4" s="1"/>
  <c r="I30" i="4" l="1"/>
  <c r="L23" i="4"/>
  <c r="L22" i="4"/>
  <c r="I22" i="4"/>
  <c r="I23" i="4"/>
  <c r="H23" i="4"/>
  <c r="H22" i="4"/>
  <c r="I42" i="6" l="1"/>
  <c r="I45" i="6" s="1"/>
  <c r="I47" i="6" s="1"/>
  <c r="K30" i="6"/>
  <c r="G30" i="6"/>
  <c r="G28" i="6"/>
  <c r="I24" i="6"/>
  <c r="K22" i="6"/>
  <c r="G22" i="6"/>
  <c r="K21" i="6"/>
  <c r="G21" i="6"/>
  <c r="K20" i="6"/>
  <c r="G20" i="6"/>
  <c r="K19" i="6"/>
  <c r="G19" i="6"/>
  <c r="K18" i="6"/>
  <c r="G18" i="6"/>
  <c r="K17" i="6"/>
  <c r="K24" i="6" s="1"/>
  <c r="G17" i="6"/>
  <c r="G24" i="6" s="1"/>
  <c r="K13" i="6"/>
  <c r="I10" i="6"/>
  <c r="G10" i="6"/>
  <c r="I9" i="6"/>
  <c r="I13" i="6" s="1"/>
  <c r="G9" i="6"/>
  <c r="G13" i="6" s="1"/>
  <c r="K42" i="6" l="1"/>
  <c r="K45" i="6" s="1"/>
  <c r="K47" i="6" s="1"/>
  <c r="G42" i="6"/>
  <c r="G45" i="6" s="1"/>
  <c r="G47" i="6" s="1"/>
  <c r="G49" i="6" s="1"/>
  <c r="I49" i="6"/>
  <c r="J19" i="4" l="1"/>
  <c r="I48" i="4"/>
  <c r="J48" i="4" s="1"/>
  <c r="K48" i="4" s="1"/>
  <c r="L48" i="4" s="1"/>
  <c r="C29" i="4"/>
  <c r="H28" i="4"/>
  <c r="I28" i="4" s="1"/>
  <c r="J28" i="4" s="1"/>
  <c r="H25" i="4"/>
  <c r="I25" i="4" s="1"/>
  <c r="J25" i="4" s="1"/>
  <c r="H27" i="4"/>
  <c r="I27" i="4" s="1"/>
  <c r="J27" i="4" s="1"/>
  <c r="K19" i="4" l="1"/>
  <c r="K27" i="4" s="1"/>
  <c r="L27" i="4" s="1"/>
  <c r="J23" i="4"/>
  <c r="J22" i="4"/>
  <c r="J30" i="4"/>
  <c r="K30" i="4" s="1"/>
  <c r="L30" i="4" s="1"/>
  <c r="K28" i="4"/>
  <c r="L28" i="4" s="1"/>
  <c r="K25" i="4"/>
  <c r="L25" i="4" s="1"/>
  <c r="H29" i="4"/>
  <c r="I29" i="4" s="1"/>
  <c r="J29" i="4" s="1"/>
  <c r="K29" i="4" s="1"/>
  <c r="L29" i="4" s="1"/>
  <c r="I36" i="4"/>
  <c r="J36" i="4" s="1"/>
  <c r="K36" i="4" s="1"/>
  <c r="L36" i="4" s="1"/>
  <c r="I38" i="4"/>
  <c r="J38" i="4" s="1"/>
  <c r="K38" i="4" s="1"/>
  <c r="L38" i="4" s="1"/>
  <c r="I39" i="4"/>
  <c r="J39" i="4" s="1"/>
  <c r="K39" i="4" s="1"/>
  <c r="L39" i="4" s="1"/>
  <c r="I40" i="4"/>
  <c r="J40" i="4" s="1"/>
  <c r="K40" i="4" s="1"/>
  <c r="L40" i="4" s="1"/>
  <c r="I41" i="4"/>
  <c r="J41" i="4" s="1"/>
  <c r="K41" i="4" s="1"/>
  <c r="L41" i="4" s="1"/>
  <c r="I42" i="4"/>
  <c r="J42" i="4" s="1"/>
  <c r="K42" i="4" s="1"/>
  <c r="L42" i="4" s="1"/>
  <c r="I43" i="4"/>
  <c r="J43" i="4" s="1"/>
  <c r="K43" i="4" s="1"/>
  <c r="L43" i="4" s="1"/>
  <c r="I44" i="4"/>
  <c r="J44" i="4" s="1"/>
  <c r="K44" i="4" s="1"/>
  <c r="L44" i="4" s="1"/>
  <c r="I45" i="4"/>
  <c r="J45" i="4" s="1"/>
  <c r="K45" i="4" s="1"/>
  <c r="L45" i="4" s="1"/>
  <c r="I46" i="4"/>
  <c r="J46" i="4" s="1"/>
  <c r="K46" i="4" s="1"/>
  <c r="L46" i="4" s="1"/>
  <c r="I47" i="4"/>
  <c r="J47" i="4" s="1"/>
  <c r="K47" i="4" s="1"/>
  <c r="L47" i="4" s="1"/>
  <c r="I49" i="4"/>
  <c r="J49" i="4" s="1"/>
  <c r="K49" i="4" s="1"/>
  <c r="L49" i="4" s="1"/>
  <c r="I51" i="4"/>
  <c r="J51" i="4" s="1"/>
  <c r="K51" i="4" s="1"/>
  <c r="L51" i="4" s="1"/>
  <c r="K23" i="4" l="1"/>
  <c r="K22" i="4"/>
  <c r="B19" i="5"/>
  <c r="B20" i="5" s="1"/>
  <c r="B18" i="5"/>
  <c r="D19" i="5"/>
  <c r="D18" i="5"/>
  <c r="D20" i="5" s="1"/>
  <c r="K22" i="3" l="1"/>
  <c r="G22" i="3"/>
  <c r="K22" i="2"/>
  <c r="G22" i="2"/>
  <c r="I37" i="4"/>
  <c r="J37" i="4" s="1"/>
  <c r="K37" i="4" s="1"/>
  <c r="L37" i="4" s="1"/>
  <c r="H35" i="4"/>
  <c r="I35" i="4" s="1"/>
  <c r="J35" i="4" s="1"/>
  <c r="H26" i="4"/>
  <c r="I26" i="4" s="1"/>
  <c r="J26" i="4" s="1"/>
  <c r="K26" i="4" s="1"/>
  <c r="L26" i="4" s="1"/>
  <c r="H24" i="4"/>
  <c r="I24" i="4" s="1"/>
  <c r="J24" i="4" s="1"/>
  <c r="K24" i="4" s="1"/>
  <c r="L24" i="4" s="1"/>
  <c r="I31" i="4" l="1"/>
  <c r="K35" i="4"/>
  <c r="L35" i="4" s="1"/>
  <c r="C19" i="5"/>
  <c r="C18" i="5"/>
  <c r="H31" i="4"/>
  <c r="K29" i="2"/>
  <c r="J31" i="4" l="1"/>
  <c r="C20" i="5"/>
  <c r="H50" i="4"/>
  <c r="C12" i="5"/>
  <c r="C5" i="5"/>
  <c r="C24" i="5"/>
  <c r="K18" i="2"/>
  <c r="G18" i="2"/>
  <c r="G18" i="3"/>
  <c r="K18" i="3"/>
  <c r="H53" i="4" l="1"/>
  <c r="H55" i="4" s="1"/>
  <c r="I50" i="4"/>
  <c r="L31" i="4"/>
  <c r="K31" i="4"/>
  <c r="C25" i="5"/>
  <c r="C26" i="5" s="1"/>
  <c r="K30" i="3"/>
  <c r="G30" i="3"/>
  <c r="G28" i="3"/>
  <c r="I24" i="3"/>
  <c r="K21" i="3"/>
  <c r="G21" i="3"/>
  <c r="K20" i="3"/>
  <c r="G20" i="3"/>
  <c r="K19" i="3"/>
  <c r="G19" i="3"/>
  <c r="K17" i="3"/>
  <c r="G17" i="3"/>
  <c r="K13" i="3"/>
  <c r="I9" i="3"/>
  <c r="I10" i="3" s="1"/>
  <c r="G9" i="3"/>
  <c r="G10" i="3" s="1"/>
  <c r="C13" i="5" l="1"/>
  <c r="C14" i="5" s="1"/>
  <c r="C6" i="5"/>
  <c r="C7" i="5" s="1"/>
  <c r="J50" i="4"/>
  <c r="I53" i="4"/>
  <c r="I55" i="4" s="1"/>
  <c r="G24" i="3"/>
  <c r="K24" i="3"/>
  <c r="G13" i="3"/>
  <c r="I42" i="3"/>
  <c r="I45" i="3" s="1"/>
  <c r="I47" i="3" s="1"/>
  <c r="I49" i="3" s="1"/>
  <c r="I13" i="3"/>
  <c r="G21" i="2"/>
  <c r="G20" i="2"/>
  <c r="G19" i="2"/>
  <c r="G17" i="2"/>
  <c r="K50" i="4" l="1"/>
  <c r="J53" i="4"/>
  <c r="J55" i="4" s="1"/>
  <c r="K42" i="3"/>
  <c r="K45" i="3" s="1"/>
  <c r="B24" i="5"/>
  <c r="G42" i="3"/>
  <c r="G45" i="3" s="1"/>
  <c r="B12" i="5"/>
  <c r="B5" i="5"/>
  <c r="G28" i="2"/>
  <c r="K21" i="2"/>
  <c r="K20" i="2"/>
  <c r="K19" i="2"/>
  <c r="K17" i="2"/>
  <c r="K30" i="2"/>
  <c r="G10" i="2"/>
  <c r="I10" i="2"/>
  <c r="L50" i="4" l="1"/>
  <c r="L53" i="4" s="1"/>
  <c r="L55" i="4" s="1"/>
  <c r="K53" i="4"/>
  <c r="K55" i="4" s="1"/>
  <c r="G47" i="3"/>
  <c r="G49" i="3" s="1"/>
  <c r="B13" i="5"/>
  <c r="B14" i="5" s="1"/>
  <c r="B6" i="5"/>
  <c r="B7" i="5" s="1"/>
  <c r="K47" i="3"/>
  <c r="B25" i="5"/>
  <c r="B26" i="5" s="1"/>
  <c r="K24" i="2"/>
  <c r="K13" i="2"/>
  <c r="K42" i="2" l="1"/>
  <c r="K45" i="2" s="1"/>
  <c r="D24" i="5"/>
  <c r="G30" i="2"/>
  <c r="K47" i="2" l="1"/>
  <c r="D25" i="5"/>
  <c r="D26" i="5" s="1"/>
  <c r="I24" i="2"/>
  <c r="I45" i="2" l="1"/>
  <c r="I47" i="2" s="1"/>
  <c r="G24" i="2"/>
  <c r="D12" i="5" l="1"/>
  <c r="D5" i="5"/>
  <c r="G42" i="2"/>
  <c r="G45" i="2" s="1"/>
  <c r="G47" i="2" l="1"/>
  <c r="D6" i="5"/>
  <c r="D7" i="5" s="1"/>
  <c r="D13" i="5"/>
  <c r="D14" i="5" s="1"/>
  <c r="G13" i="2"/>
  <c r="I13" i="2"/>
  <c r="I49" i="2" s="1"/>
  <c r="G4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Faye</author>
  </authors>
  <commentList>
    <comment ref="H22" authorId="0" shapeId="0" xr:uid="{C52F118F-617D-4D4B-8460-B61427D628A4}">
      <text>
        <r>
          <rPr>
            <b/>
            <sz val="9"/>
            <color indexed="81"/>
            <rFont val="Tahoma"/>
            <family val="2"/>
          </rPr>
          <t>Faye:</t>
        </r>
        <r>
          <rPr>
            <sz val="9"/>
            <color indexed="81"/>
            <rFont val="Tahoma"/>
            <family val="2"/>
          </rPr>
          <t xml:space="preserve">
Assume yachts using pontoons for around 28 days per month average for 4 months multiplied by occupancy in cell C25</t>
        </r>
      </text>
    </comment>
    <comment ref="H35" authorId="0" shapeId="0" xr:uid="{B02F41AD-0D49-4592-9F24-2FB73724DEA4}">
      <text>
        <r>
          <rPr>
            <b/>
            <sz val="9"/>
            <color indexed="81"/>
            <rFont val="Tahoma"/>
            <family val="2"/>
          </rPr>
          <t>Faye:</t>
        </r>
        <r>
          <rPr>
            <sz val="9"/>
            <color indexed="81"/>
            <rFont val="Tahoma"/>
            <family val="2"/>
          </rPr>
          <t xml:space="preserve">
Assume 3 hours per week in winter and 5 hours per day in summer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Faye</author>
  </authors>
  <commentList>
    <comment ref="G17" authorId="0" shapeId="0" xr:uid="{1DD9654E-5D29-463A-8199-F7F7DFCC34E6}">
      <text>
        <r>
          <rPr>
            <b/>
            <sz val="9"/>
            <color indexed="81"/>
            <rFont val="Tahoma"/>
            <family val="2"/>
          </rPr>
          <t>Faye:</t>
        </r>
        <r>
          <rPr>
            <sz val="9"/>
            <color indexed="81"/>
            <rFont val="Tahoma"/>
            <family val="2"/>
          </rPr>
          <t xml:space="preserve">
Assume yachts using pontoons for around 28 days per month average for 4 months multiplied by occupancy in cell C25</t>
        </r>
      </text>
    </comment>
    <comment ref="K17" authorId="0" shapeId="0" xr:uid="{C1736B49-0400-487C-9EA8-C80E814A2440}">
      <text>
        <r>
          <rPr>
            <b/>
            <sz val="9"/>
            <color indexed="81"/>
            <rFont val="Tahoma"/>
            <family val="2"/>
          </rPr>
          <t>Faye:</t>
        </r>
        <r>
          <rPr>
            <sz val="9"/>
            <color indexed="81"/>
            <rFont val="Tahoma"/>
            <family val="2"/>
          </rPr>
          <t xml:space="preserve">
Assume yachts using pontoons for around 28 days per month average for 4 months multiplied by occupancy in cell C25</t>
        </r>
      </text>
    </comment>
    <comment ref="G28" authorId="0" shapeId="0" xr:uid="{BDBEACFB-96E0-494B-B3E9-0F5C9883B286}">
      <text>
        <r>
          <rPr>
            <b/>
            <sz val="9"/>
            <color indexed="81"/>
            <rFont val="Tahoma"/>
            <family val="2"/>
          </rPr>
          <t>Faye:</t>
        </r>
        <r>
          <rPr>
            <sz val="9"/>
            <color indexed="81"/>
            <rFont val="Tahoma"/>
            <family val="2"/>
          </rPr>
          <t xml:space="preserve">
Assume 3 hours per week in winter and 5 hours per day in summer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Faye</author>
  </authors>
  <commentList>
    <comment ref="G17" authorId="0" shapeId="0" xr:uid="{75024B92-6025-4E48-A9C8-C0FEE43C0A3D}">
      <text>
        <r>
          <rPr>
            <b/>
            <sz val="9"/>
            <color indexed="81"/>
            <rFont val="Tahoma"/>
            <family val="2"/>
          </rPr>
          <t>Faye:</t>
        </r>
        <r>
          <rPr>
            <sz val="9"/>
            <color indexed="81"/>
            <rFont val="Tahoma"/>
            <family val="2"/>
          </rPr>
          <t xml:space="preserve">
Assume yachts using pontoons for around 28 days per month average for 4 months multiplied by occupancy in cell C25</t>
        </r>
      </text>
    </comment>
    <comment ref="K17" authorId="0" shapeId="0" xr:uid="{4E8FD18F-473C-4997-8F70-D229F1B89A20}">
      <text>
        <r>
          <rPr>
            <b/>
            <sz val="9"/>
            <color indexed="81"/>
            <rFont val="Tahoma"/>
            <family val="2"/>
          </rPr>
          <t>Faye:</t>
        </r>
        <r>
          <rPr>
            <sz val="9"/>
            <color indexed="81"/>
            <rFont val="Tahoma"/>
            <family val="2"/>
          </rPr>
          <t xml:space="preserve">
Assume yachts using pontoons for around 28 days per month average for 4 months multiplied by occupancy in cell C25</t>
        </r>
      </text>
    </comment>
    <comment ref="G28" authorId="0" shapeId="0" xr:uid="{951F2C46-C081-40CA-B95E-021F9A44BA67}">
      <text>
        <r>
          <rPr>
            <b/>
            <sz val="9"/>
            <color indexed="81"/>
            <rFont val="Tahoma"/>
            <family val="2"/>
          </rPr>
          <t>Faye:</t>
        </r>
        <r>
          <rPr>
            <sz val="9"/>
            <color indexed="81"/>
            <rFont val="Tahoma"/>
            <family val="2"/>
          </rPr>
          <t xml:space="preserve">
Assume 3 hours per week in winter and 5 hours per day in summer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Faye</author>
  </authors>
  <commentList>
    <comment ref="G17" authorId="0" shapeId="0" xr:uid="{00000000-0006-0000-0000-000002000000}">
      <text>
        <r>
          <rPr>
            <b/>
            <sz val="9"/>
            <color indexed="81"/>
            <rFont val="Tahoma"/>
            <family val="2"/>
          </rPr>
          <t>Faye:</t>
        </r>
        <r>
          <rPr>
            <sz val="9"/>
            <color indexed="81"/>
            <rFont val="Tahoma"/>
            <family val="2"/>
          </rPr>
          <t xml:space="preserve">
Assume yachts using pontoons for around 28 days per month average for 4 months multiplied by occupancy in cell C25</t>
        </r>
      </text>
    </comment>
    <comment ref="K17" authorId="0" shapeId="0" xr:uid="{1777EB6A-8951-45A9-BA51-DD0245DEA86C}">
      <text>
        <r>
          <rPr>
            <b/>
            <sz val="9"/>
            <color indexed="81"/>
            <rFont val="Tahoma"/>
            <family val="2"/>
          </rPr>
          <t>Faye:</t>
        </r>
        <r>
          <rPr>
            <sz val="9"/>
            <color indexed="81"/>
            <rFont val="Tahoma"/>
            <family val="2"/>
          </rPr>
          <t xml:space="preserve">
Assume yachts using pontoons for around 28 days per month average for 4 months multiplied by occupancy in cell C25</t>
        </r>
      </text>
    </comment>
    <comment ref="G28" authorId="0" shapeId="0" xr:uid="{00000000-0006-0000-0000-000005000000}">
      <text>
        <r>
          <rPr>
            <b/>
            <sz val="9"/>
            <color indexed="81"/>
            <rFont val="Tahoma"/>
            <family val="2"/>
          </rPr>
          <t>Faye:</t>
        </r>
        <r>
          <rPr>
            <sz val="9"/>
            <color indexed="81"/>
            <rFont val="Tahoma"/>
            <family val="2"/>
          </rPr>
          <t xml:space="preserve">
Assume 3 hours per week in winter and 5 hours per day in summer</t>
        </r>
      </text>
    </comment>
  </commentList>
</comments>
</file>

<file path=xl/sharedStrings.xml><?xml version="1.0" encoding="utf-8"?>
<sst xmlns="http://schemas.openxmlformats.org/spreadsheetml/2006/main" count="320" uniqueCount="99">
  <si>
    <t>Scenario 1</t>
  </si>
  <si>
    <t>Scenario 2</t>
  </si>
  <si>
    <t>Pontoons</t>
  </si>
  <si>
    <t>Shower &amp; laundry facilities</t>
  </si>
  <si>
    <t>Campervan Hook-ups</t>
  </si>
  <si>
    <t>Insurance</t>
  </si>
  <si>
    <t>Telephone</t>
  </si>
  <si>
    <t>Sundry expenses</t>
  </si>
  <si>
    <t>Rate</t>
  </si>
  <si>
    <t>per annum</t>
  </si>
  <si>
    <t>per use</t>
  </si>
  <si>
    <t>per day</t>
  </si>
  <si>
    <t>Users</t>
  </si>
  <si>
    <t>Total income</t>
  </si>
  <si>
    <t>Total capital costs</t>
  </si>
  <si>
    <t>Salaries/wages</t>
  </si>
  <si>
    <t>Repairs and maintenance</t>
  </si>
  <si>
    <t>Office supplies</t>
  </si>
  <si>
    <t>Advertising &amp; promotions</t>
  </si>
  <si>
    <t>Rates</t>
  </si>
  <si>
    <t>Water charges</t>
  </si>
  <si>
    <t xml:space="preserve">Electricity </t>
  </si>
  <si>
    <t>Interest</t>
  </si>
  <si>
    <t>Bank charges</t>
  </si>
  <si>
    <t>Total expenditure</t>
  </si>
  <si>
    <t>Net income/expenditure</t>
  </si>
  <si>
    <t>Cleaner</t>
  </si>
  <si>
    <t>Annual return on capital investment</t>
  </si>
  <si>
    <t>Pontoon berthing fees -local</t>
  </si>
  <si>
    <t>Occupancy</t>
  </si>
  <si>
    <t>CAPITAL COSTS</t>
  </si>
  <si>
    <t>POTENTIAL INCOME</t>
  </si>
  <si>
    <t>PROJECTED EXPENDITURE</t>
  </si>
  <si>
    <t>Accounting/bookkeeping</t>
  </si>
  <si>
    <t>Future chain maintenance fund</t>
  </si>
  <si>
    <t>The main assumptions used in the attached financial analysis are as follows:</t>
  </si>
  <si>
    <t>1. The capital costs of the main pier and slipway redevelopment and the cost of the pontoon construction are based on the detailed design and engineering work carried out by Wallace Stone.  In addition, it is anticipated that there will be additional infrastructure costs associated with the pontoon facility in particular.</t>
  </si>
  <si>
    <r>
      <t>2.</t>
    </r>
    <r>
      <rPr>
        <sz val="7"/>
        <color theme="1"/>
        <rFont val="Times New Roman"/>
        <family val="1"/>
      </rPr>
      <t xml:space="preserve">      </t>
    </r>
    <r>
      <rPr>
        <sz val="12"/>
        <color theme="1"/>
        <rFont val="Calibri"/>
        <family val="2"/>
        <scheme val="minor"/>
      </rPr>
      <t>The capital costs of the ancillary facilities are based on general knowledge of similar projects already carried out in the Western Isles.</t>
    </r>
  </si>
  <si>
    <r>
      <t>3.</t>
    </r>
    <r>
      <rPr>
        <sz val="7"/>
        <color theme="1"/>
        <rFont val="Times New Roman"/>
        <family val="1"/>
      </rPr>
      <t xml:space="preserve">      </t>
    </r>
    <r>
      <rPr>
        <sz val="12"/>
        <color theme="1"/>
        <rFont val="Calibri"/>
        <family val="2"/>
        <scheme val="minor"/>
      </rPr>
      <t>Pier and pontoon pricing is based on charging rates which have been benchmarked against other pier and pontoon facilities throughout the Western Isles.  The rates will be below the rates charged for facilities in Stornoway to attract vessels to use the facility and reflects that Crossbost will not be able to offer the same level of services that Stornoway can, although it is anticipated that demand for Crossbost will increase as word of the facility spreads and its attraction for wintering increases.</t>
    </r>
  </si>
  <si>
    <r>
      <t>4.</t>
    </r>
    <r>
      <rPr>
        <sz val="7"/>
        <color theme="1"/>
        <rFont val="Times New Roman"/>
        <family val="1"/>
      </rPr>
      <t xml:space="preserve">      </t>
    </r>
    <r>
      <rPr>
        <sz val="12"/>
        <color theme="1"/>
        <rFont val="Calibri"/>
        <family val="2"/>
        <scheme val="minor"/>
      </rPr>
      <t>Demand and usage levels are considered to be conservative and it is anticipated that actual use could be considerably higher.  Other facilities in the Western Isles and the local knowledge of the steering group have been used to inform the demand levels.</t>
    </r>
  </si>
  <si>
    <r>
      <t>5.</t>
    </r>
    <r>
      <rPr>
        <sz val="7"/>
        <color theme="1"/>
        <rFont val="Times New Roman"/>
        <family val="1"/>
      </rPr>
      <t xml:space="preserve">      </t>
    </r>
    <r>
      <rPr>
        <sz val="12"/>
        <color theme="1"/>
        <rFont val="Calibri"/>
        <family val="2"/>
        <scheme val="minor"/>
      </rPr>
      <t>Income for ancillary services is based on market rates in the Western Isles and knowledge of similar business operations.</t>
    </r>
  </si>
  <si>
    <r>
      <t>6.</t>
    </r>
    <r>
      <rPr>
        <sz val="7"/>
        <color theme="1"/>
        <rFont val="Times New Roman"/>
        <family val="1"/>
      </rPr>
      <t xml:space="preserve">      </t>
    </r>
    <r>
      <rPr>
        <sz val="12"/>
        <color theme="1"/>
        <rFont val="Calibri"/>
        <family val="2"/>
        <scheme val="minor"/>
      </rPr>
      <t xml:space="preserve">Expenditure is based on the anticipated costs for the operation of the pier, slipway and pontoons and for the particular ancillary elements of the project for comparable projects. </t>
    </r>
  </si>
  <si>
    <r>
      <t>7.</t>
    </r>
    <r>
      <rPr>
        <sz val="7"/>
        <color theme="1"/>
        <rFont val="Times New Roman"/>
        <family val="1"/>
      </rPr>
      <t xml:space="preserve">      </t>
    </r>
    <r>
      <rPr>
        <sz val="12"/>
        <color theme="1"/>
        <rFont val="Calibri"/>
        <family val="2"/>
        <scheme val="minor"/>
      </rPr>
      <t>Wage costs for the pier and slipway operation are assumed to be around 3 hours per week throughout the year.  The addition of the pontoon facility would require additional wage costs with an estimate of 3 hours per day required in the summer months.  With the ancillary facilities, this would increase to 5 hours per day in the summer months.</t>
    </r>
  </si>
  <si>
    <r>
      <t>8.</t>
    </r>
    <r>
      <rPr>
        <sz val="7"/>
        <color theme="1"/>
        <rFont val="Times New Roman"/>
        <family val="1"/>
      </rPr>
      <t xml:space="preserve">      </t>
    </r>
    <r>
      <rPr>
        <sz val="12"/>
        <color theme="1"/>
        <rFont val="Calibri"/>
        <family val="2"/>
        <scheme val="minor"/>
      </rPr>
      <t>A sinking fund cost has been added to the projections to take account of the anticipated cost of future chain maintenance.  This is based on the cost of maintaining a heavy duty chain, but would result in a higher sinking fund cost if only a light duty chain is installed.</t>
    </r>
  </si>
  <si>
    <t>Rent</t>
  </si>
  <si>
    <t>Inhouse</t>
  </si>
  <si>
    <t>operation</t>
  </si>
  <si>
    <t>Raasay Development Trust</t>
  </si>
  <si>
    <t>VAT</t>
  </si>
  <si>
    <t>Lease to</t>
  </si>
  <si>
    <t>third party</t>
  </si>
  <si>
    <t>Third party</t>
  </si>
  <si>
    <t>illustration</t>
  </si>
  <si>
    <t>Scenario 2b</t>
  </si>
  <si>
    <t>(self-employed)</t>
  </si>
  <si>
    <t>(net of VAT)</t>
  </si>
  <si>
    <t>Pontoon berthing fees - yachts large</t>
  </si>
  <si>
    <t>Pontoon berthing fees - yachts small</t>
  </si>
  <si>
    <t>Pontoon operation - 6 main berth option</t>
  </si>
  <si>
    <t>Pontoon operation - 26 main berth option</t>
  </si>
  <si>
    <t>Water taxi fees</t>
  </si>
  <si>
    <t>per passenger</t>
  </si>
  <si>
    <t>Pontoon operation - 12 main berth option</t>
  </si>
  <si>
    <t>Income</t>
  </si>
  <si>
    <t>Expenditure</t>
  </si>
  <si>
    <t>Scenario 1 - CIC In-house</t>
  </si>
  <si>
    <t>6 berth</t>
  </si>
  <si>
    <t>12 berth</t>
  </si>
  <si>
    <t>26 berth</t>
  </si>
  <si>
    <t>Group profit/(loss)</t>
  </si>
  <si>
    <t>Scenario 2 - RDT position</t>
  </si>
  <si>
    <t>Scenario 2 - Leasee position</t>
  </si>
  <si>
    <t>Scenario 1 - In-house Operation</t>
  </si>
  <si>
    <t>Year 1</t>
  </si>
  <si>
    <t>Year 2</t>
  </si>
  <si>
    <t>Year 3</t>
  </si>
  <si>
    <t>Year 4</t>
  </si>
  <si>
    <t>Year 5</t>
  </si>
  <si>
    <t>Laundry facilities</t>
  </si>
  <si>
    <t>Toilet charge</t>
  </si>
  <si>
    <t>Shower charge</t>
  </si>
  <si>
    <t>Rates &amp; water</t>
  </si>
  <si>
    <t>Consumables</t>
  </si>
  <si>
    <t>Deep cleaning</t>
  </si>
  <si>
    <t>Inflationary increase</t>
  </si>
  <si>
    <t>Toilet footfall estimate</t>
  </si>
  <si>
    <t>Toilet comfort scheme (HC)</t>
  </si>
  <si>
    <t>The capital costs of the pontoon construction are based on the detailed design and engineering work carried out by Wallace Stone.  In addition, it is anticipated that there will be additional infrastructure costs associated with the onshore facilities.</t>
  </si>
  <si>
    <t>Facilities building</t>
  </si>
  <si>
    <t>Campervan hook-ups</t>
  </si>
  <si>
    <t>Land &amp; legal costs</t>
  </si>
  <si>
    <t>Contingency (10%)</t>
  </si>
  <si>
    <t>Demand and usage levels are considered to be conservative and it is anticipated that actual use could be considerably higher.  It is assumed for the purposes of these projections that the facility will be fully open for a 4 month period aiming to achieve at least 40% yacht berth occupancy by year 3.</t>
  </si>
  <si>
    <t>Income for ancillary services is based on market rates for other similar business operations.  Actual footfall date for toilet facilities in Raasay have been used to estimate levels of usage although anticipating a lower level of paid use against the current free facilities.</t>
  </si>
  <si>
    <t>Wage costs for the pontoon operation are assumed to be around 3 hours per week during the winter and an estimate of 5 hours per day (assuming 6 days per week) required in the summer months. It is assumed that a cleaner will be required for an hour per day (6 days a week).</t>
  </si>
  <si>
    <t>Expenditure is based on data from other pontoon facilities on the Scottish West Coast and data for the operation of the facilities building have been taken from data provided by Highland Council.</t>
  </si>
  <si>
    <t xml:space="preserve">A sinking fund cost has been added to the projections to take account of the anticipated cost of future chain maintenance.  </t>
  </si>
  <si>
    <t xml:space="preserve">Pier and pontoon pricing is based on charging rates which have been benchmarked against other pier and pontoon facilities on the West Coast of Scotland.  </t>
  </si>
  <si>
    <t>EV charging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</si>
</sst>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_ ;_ \(#,##0\);&quot;- &quot;;&quot;-  &quot;"/>
    <numFmt numFmtId="167" formatCode="_-* #,##0_-;\-* #,##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8"/>
      <color theme="1"/>
      <name val="Calibri"/>
      <family val="2"/>
      <scheme val="minor"/>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7"/>
      <color theme="1"/>
      <name val="Times New Roman"/>
      <family val="1"/>
    </font>
    <font>
      <b/>
      <sz val="12"/>
      <color theme="1"/>
      <name val="Calibri"/>
      <family val="2"/>
      <scheme val="minor"/>
    </font>
    <font>
      <b/>
      <i/>
      <sz val="8"/>
      <color theme="1"/>
      <name val="Calibri"/>
      <family val="2"/>
      <scheme val="minor"/>
    </font>
    <font>
      <i/>
      <sz val="11"/>
      <color theme="1"/>
      <name val="Calibri"/>
      <family val="2"/>
      <scheme val="minor"/>
    </font>
    <font>
      <sz val="10"/>
      <color theme="1"/>
      <name val="Calibri"/>
      <family val="2"/>
      <scheme val="minor"/>
    </font>
    <font>
      <b/>
      <sz val="11"/>
      <color rgb="FF000000"/>
      <name val="Calibri"/>
      <family val="2"/>
      <scheme val="minor"/>
    </font>
    <font>
      <sz val="11"/>
      <color rgb="FF000000"/>
      <name val="Calibri"/>
      <family val="2"/>
      <scheme val="minor"/>
    </font>
    <font>
      <sz val="9"/>
      <name val="Arial"/>
      <family val="2"/>
    </font>
    <font>
      <b/>
      <sz val="11"/>
      <name val="Calibri"/>
      <family val="2"/>
      <scheme val="minor"/>
    </font>
    <font>
      <b/>
      <sz val="11"/>
      <name val="Calibri"/>
      <family val="2"/>
    </font>
    <font>
      <i/>
      <sz val="10"/>
      <color theme="1"/>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17" fillId="0" borderId="0"/>
  </cellStyleXfs>
  <cellXfs count="83">
    <xf numFmtId="0" fontId="0" fillId="0" borderId="0" xfId="0"/>
    <xf numFmtId="0" fontId="2" fillId="0" borderId="0" xfId="0" applyFont="1"/>
    <xf numFmtId="164" fontId="0" fillId="0" borderId="0" xfId="1" applyNumberFormat="1" applyFont="1"/>
    <xf numFmtId="0" fontId="4" fillId="0" borderId="0" xfId="0" applyFont="1" applyAlignment="1">
      <alignment horizontal="center"/>
    </xf>
    <xf numFmtId="0" fontId="0" fillId="0" borderId="0" xfId="0"/>
    <xf numFmtId="0" fontId="2" fillId="0" borderId="0" xfId="0" applyFont="1"/>
    <xf numFmtId="10" fontId="0" fillId="0" borderId="0" xfId="5" applyNumberFormat="1" applyFont="1"/>
    <xf numFmtId="0" fontId="2" fillId="2" borderId="0" xfId="0" applyFont="1" applyFill="1"/>
    <xf numFmtId="0" fontId="0" fillId="2" borderId="0" xfId="0" applyFill="1"/>
    <xf numFmtId="164" fontId="0" fillId="2" borderId="0" xfId="1" applyNumberFormat="1" applyFont="1" applyFill="1"/>
    <xf numFmtId="164" fontId="2" fillId="2" borderId="1" xfId="1" applyNumberFormat="1" applyFont="1" applyFill="1" applyBorder="1"/>
    <xf numFmtId="164" fontId="2" fillId="2" borderId="0" xfId="1" applyNumberFormat="1" applyFont="1" applyFill="1"/>
    <xf numFmtId="9" fontId="0" fillId="2" borderId="0" xfId="0" applyNumberFormat="1" applyFill="1"/>
    <xf numFmtId="0" fontId="8" fillId="2" borderId="0" xfId="0" applyFont="1" applyFill="1" applyAlignment="1">
      <alignment horizontal="left" indent="1"/>
    </xf>
    <xf numFmtId="165" fontId="0" fillId="2" borderId="0" xfId="0" applyNumberFormat="1" applyFill="1"/>
    <xf numFmtId="0" fontId="7" fillId="2" borderId="0" xfId="0" applyFont="1" applyFill="1" applyAlignment="1">
      <alignment horizontal="left" indent="1"/>
    </xf>
    <xf numFmtId="165" fontId="2" fillId="2" borderId="1" xfId="0" applyNumberFormat="1" applyFont="1" applyFill="1" applyBorder="1"/>
    <xf numFmtId="164" fontId="2" fillId="2" borderId="0" xfId="0" applyNumberFormat="1" applyFont="1" applyFill="1"/>
    <xf numFmtId="0" fontId="3" fillId="2" borderId="0" xfId="0" applyFont="1" applyFill="1"/>
    <xf numFmtId="0" fontId="3" fillId="2" borderId="0" xfId="0" applyFont="1" applyFill="1" applyAlignment="1">
      <alignment horizontal="center"/>
    </xf>
    <xf numFmtId="0" fontId="11" fillId="0" borderId="0" xfId="0" applyFont="1" applyAlignment="1">
      <alignment vertical="center"/>
    </xf>
    <xf numFmtId="0" fontId="3" fillId="0" borderId="0" xfId="0" applyFont="1"/>
    <xf numFmtId="0" fontId="12" fillId="0" borderId="0" xfId="0" applyFont="1" applyAlignment="1">
      <alignment horizontal="center"/>
    </xf>
    <xf numFmtId="0" fontId="13" fillId="0" borderId="0" xfId="0" applyFont="1"/>
    <xf numFmtId="0" fontId="13" fillId="2" borderId="0" xfId="0" applyFont="1" applyFill="1"/>
    <xf numFmtId="164" fontId="13" fillId="2" borderId="0" xfId="1" applyNumberFormat="1" applyFont="1" applyFill="1"/>
    <xf numFmtId="164" fontId="3" fillId="2" borderId="1" xfId="1" applyNumberFormat="1" applyFont="1" applyFill="1" applyBorder="1"/>
    <xf numFmtId="164" fontId="13" fillId="0" borderId="0" xfId="1" applyNumberFormat="1" applyFont="1"/>
    <xf numFmtId="165" fontId="13" fillId="2" borderId="0" xfId="0" applyNumberFormat="1" applyFont="1" applyFill="1"/>
    <xf numFmtId="165" fontId="3" fillId="2" borderId="1" xfId="0" applyNumberFormat="1" applyFont="1" applyFill="1" applyBorder="1"/>
    <xf numFmtId="164" fontId="3" fillId="2" borderId="0" xfId="0" applyNumberFormat="1" applyFont="1" applyFill="1"/>
    <xf numFmtId="10" fontId="13" fillId="0" borderId="0" xfId="5" applyNumberFormat="1" applyFont="1"/>
    <xf numFmtId="164" fontId="14" fillId="2" borderId="0" xfId="1" applyNumberFormat="1" applyFont="1" applyFill="1" applyAlignment="1">
      <alignment horizontal="center"/>
    </xf>
    <xf numFmtId="0" fontId="0" fillId="0" borderId="0" xfId="0" applyBorder="1"/>
    <xf numFmtId="0" fontId="16" fillId="0" borderId="0" xfId="0" applyFont="1" applyBorder="1" applyAlignment="1">
      <alignment vertical="center"/>
    </xf>
    <xf numFmtId="3" fontId="16" fillId="0" borderId="0" xfId="0" applyNumberFormat="1" applyFont="1" applyBorder="1" applyAlignment="1">
      <alignment vertical="center"/>
    </xf>
    <xf numFmtId="0" fontId="15" fillId="0" borderId="0" xfId="0" applyFont="1" applyBorder="1" applyAlignment="1">
      <alignment vertical="center"/>
    </xf>
    <xf numFmtId="3" fontId="15" fillId="0" borderId="0" xfId="0" applyNumberFormat="1" applyFont="1" applyBorder="1" applyAlignment="1">
      <alignment vertical="center"/>
    </xf>
    <xf numFmtId="0" fontId="2" fillId="0" borderId="0" xfId="0" applyFont="1" applyBorder="1" applyAlignment="1">
      <alignment horizontal="center"/>
    </xf>
    <xf numFmtId="164" fontId="0" fillId="0" borderId="0" xfId="1" applyNumberFormat="1" applyFont="1" applyBorder="1"/>
    <xf numFmtId="164" fontId="2" fillId="0" borderId="0" xfId="1" applyNumberFormat="1" applyFont="1" applyBorder="1"/>
    <xf numFmtId="166" fontId="18" fillId="2" borderId="0" xfId="6" applyFont="1" applyFill="1" applyBorder="1"/>
    <xf numFmtId="0" fontId="0" fillId="0" borderId="2" xfId="0" applyBorder="1"/>
    <xf numFmtId="0" fontId="2" fillId="0" borderId="1" xfId="0" applyFont="1" applyBorder="1" applyAlignment="1">
      <alignment horizontal="center"/>
    </xf>
    <xf numFmtId="0" fontId="0" fillId="0" borderId="3" xfId="0" applyBorder="1"/>
    <xf numFmtId="164" fontId="0" fillId="0" borderId="4" xfId="1" applyNumberFormat="1" applyFont="1" applyBorder="1"/>
    <xf numFmtId="0" fontId="2" fillId="0" borderId="4" xfId="0" applyFont="1" applyBorder="1" applyAlignment="1">
      <alignment horizontal="center"/>
    </xf>
    <xf numFmtId="164" fontId="2" fillId="0" borderId="4" xfId="1" applyNumberFormat="1" applyFont="1" applyBorder="1"/>
    <xf numFmtId="166" fontId="19" fillId="0" borderId="4" xfId="6" applyFont="1" applyBorder="1"/>
    <xf numFmtId="0" fontId="2" fillId="0" borderId="0" xfId="0" applyFont="1" applyFill="1"/>
    <xf numFmtId="0" fontId="0" fillId="0" borderId="0" xfId="0" applyFill="1"/>
    <xf numFmtId="0" fontId="3" fillId="0" borderId="0" xfId="0" applyFont="1" applyFill="1"/>
    <xf numFmtId="0" fontId="3" fillId="0" borderId="0" xfId="0" applyFont="1" applyFill="1" applyAlignment="1">
      <alignment horizontal="center"/>
    </xf>
    <xf numFmtId="164" fontId="0" fillId="0" borderId="0" xfId="1" applyNumberFormat="1" applyFont="1" applyFill="1"/>
    <xf numFmtId="164" fontId="14" fillId="0" borderId="0" xfId="1" applyNumberFormat="1" applyFont="1" applyFill="1" applyAlignment="1">
      <alignment horizontal="center"/>
    </xf>
    <xf numFmtId="9" fontId="0" fillId="0" borderId="0" xfId="0" applyNumberFormat="1" applyFill="1"/>
    <xf numFmtId="164" fontId="2" fillId="0" borderId="0" xfId="1" applyNumberFormat="1" applyFont="1" applyFill="1"/>
    <xf numFmtId="164" fontId="2" fillId="0" borderId="1" xfId="1" applyNumberFormat="1" applyFont="1" applyFill="1" applyBorder="1"/>
    <xf numFmtId="0" fontId="8" fillId="0" borderId="0" xfId="0" applyFont="1" applyFill="1" applyAlignment="1">
      <alignment horizontal="left" indent="1"/>
    </xf>
    <xf numFmtId="165" fontId="0" fillId="0" borderId="0" xfId="0" applyNumberFormat="1" applyFill="1"/>
    <xf numFmtId="0" fontId="7" fillId="0" borderId="0" xfId="0" applyFont="1" applyFill="1" applyAlignment="1">
      <alignment horizontal="left" indent="1"/>
    </xf>
    <xf numFmtId="165" fontId="2" fillId="0" borderId="1" xfId="0" applyNumberFormat="1" applyFont="1" applyFill="1" applyBorder="1"/>
    <xf numFmtId="166" fontId="18" fillId="0" borderId="0" xfId="6" applyFont="1" applyFill="1" applyBorder="1"/>
    <xf numFmtId="0" fontId="2" fillId="0" borderId="0" xfId="0" applyFont="1" applyFill="1" applyAlignment="1">
      <alignment horizontal="center"/>
    </xf>
    <xf numFmtId="9" fontId="14" fillId="0" borderId="0" xfId="5" applyFont="1" applyFill="1" applyAlignment="1">
      <alignment horizontal="center"/>
    </xf>
    <xf numFmtId="9" fontId="0" fillId="0" borderId="0" xfId="5" applyFont="1" applyFill="1" applyAlignment="1">
      <alignment horizontal="center"/>
    </xf>
    <xf numFmtId="164" fontId="20" fillId="0" borderId="0" xfId="1" applyNumberFormat="1" applyFont="1" applyFill="1" applyAlignment="1">
      <alignment horizontal="center"/>
    </xf>
    <xf numFmtId="167" fontId="0" fillId="0" borderId="0" xfId="0" applyNumberFormat="1" applyFill="1"/>
    <xf numFmtId="0" fontId="16" fillId="0" borderId="0" xfId="0" applyFont="1" applyAlignment="1">
      <alignment vertical="center"/>
    </xf>
    <xf numFmtId="3" fontId="16" fillId="0" borderId="0" xfId="0" applyNumberFormat="1" applyFont="1" applyAlignment="1">
      <alignment vertical="center"/>
    </xf>
    <xf numFmtId="0" fontId="15" fillId="0" borderId="0" xfId="0" applyFont="1" applyAlignment="1">
      <alignment vertical="center"/>
    </xf>
    <xf numFmtId="3" fontId="15" fillId="0" borderId="0" xfId="0" applyNumberFormat="1" applyFont="1" applyAlignment="1">
      <alignment vertical="center"/>
    </xf>
    <xf numFmtId="0" fontId="2" fillId="0" borderId="0" xfId="0" applyFont="1" applyAlignment="1">
      <alignment horizontal="center"/>
    </xf>
    <xf numFmtId="166" fontId="18" fillId="2" borderId="0" xfId="6" applyFont="1" applyFill="1"/>
    <xf numFmtId="9" fontId="13" fillId="0" borderId="0" xfId="0" applyNumberFormat="1" applyFont="1" applyFill="1"/>
    <xf numFmtId="0" fontId="0" fillId="0" borderId="0" xfId="0" applyAlignment="1">
      <alignment horizontal="left" vertical="top"/>
    </xf>
    <xf numFmtId="164" fontId="0" fillId="2" borderId="5" xfId="1" applyNumberFormat="1" applyFont="1" applyFill="1" applyBorder="1"/>
    <xf numFmtId="164" fontId="2" fillId="0" borderId="0" xfId="1" applyNumberFormat="1" applyFont="1" applyFill="1" applyBorder="1"/>
    <xf numFmtId="0" fontId="0" fillId="0" borderId="0" xfId="0" applyFill="1" applyBorder="1"/>
    <xf numFmtId="0" fontId="9" fillId="0" borderId="0" xfId="0" applyFont="1" applyAlignment="1">
      <alignment horizontal="left" vertical="top" wrapText="1"/>
    </xf>
    <xf numFmtId="0" fontId="15" fillId="0" borderId="0" xfId="0" applyFont="1" applyBorder="1" applyAlignment="1">
      <alignment vertical="center"/>
    </xf>
    <xf numFmtId="0" fontId="9" fillId="0" borderId="0" xfId="0" applyFont="1" applyAlignment="1">
      <alignment horizontal="left" vertical="center" wrapText="1"/>
    </xf>
    <xf numFmtId="0" fontId="15" fillId="0" borderId="0" xfId="0" applyFont="1" applyAlignment="1">
      <alignment vertical="center"/>
    </xf>
  </cellXfs>
  <cellStyles count="7">
    <cellStyle name="Comma" xfId="1" builtinId="3"/>
    <cellStyle name="Comma 2" xfId="3" xr:uid="{00000000-0005-0000-0000-000001000000}"/>
    <cellStyle name="Normal" xfId="0" builtinId="0"/>
    <cellStyle name="Normal 0" xfId="6" xr:uid="{C3FBC0CB-56C9-4BDB-83B2-38C69E5B7A1B}"/>
    <cellStyle name="Normal 2" xfId="2" xr:uid="{00000000-0005-0000-0000-000003000000}"/>
    <cellStyle name="Percent" xfId="5" builtinId="5"/>
    <cellStyle name="Percent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ye/Documents/Urras%20Baile%20Fhlodaigearraidh%203%20year%20projectio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Report"/>
      <sheetName val="Operating assumptions"/>
      <sheetName val="Input 1"/>
      <sheetName val="Input 2"/>
      <sheetName val="Input 3"/>
      <sheetName val="Cafe break even"/>
      <sheetName val="Centre income"/>
      <sheetName val="Estimated cafe income"/>
      <sheetName val="Excess accom"/>
      <sheetName val="VATtable"/>
      <sheetName val="Projns 1"/>
      <sheetName val="Projns 2"/>
      <sheetName val="Calc"/>
    </sheetNames>
    <sheetDataSet>
      <sheetData sheetId="0"/>
      <sheetData sheetId="1"/>
      <sheetData sheetId="2"/>
      <sheetData sheetId="3"/>
      <sheetData sheetId="4"/>
      <sheetData sheetId="5"/>
      <sheetData sheetId="6"/>
      <sheetData sheetId="7"/>
      <sheetData sheetId="8"/>
      <sheetData sheetId="9"/>
      <sheetData sheetId="10"/>
      <sheetData sheetId="11">
        <row r="4">
          <cell r="B4">
            <v>1</v>
          </cell>
          <cell r="C4" t="str">
            <v>Y</v>
          </cell>
        </row>
        <row r="5">
          <cell r="B5">
            <v>2</v>
          </cell>
          <cell r="C5"/>
        </row>
        <row r="6">
          <cell r="B6">
            <v>3</v>
          </cell>
          <cell r="C6"/>
        </row>
        <row r="7">
          <cell r="B7">
            <v>4</v>
          </cell>
          <cell r="C7" t="str">
            <v>Y</v>
          </cell>
        </row>
        <row r="8">
          <cell r="B8">
            <v>5</v>
          </cell>
          <cell r="C8"/>
        </row>
        <row r="9">
          <cell r="B9">
            <v>6</v>
          </cell>
          <cell r="C9"/>
        </row>
        <row r="10">
          <cell r="B10">
            <v>7</v>
          </cell>
          <cell r="C10" t="str">
            <v>Y</v>
          </cell>
        </row>
        <row r="11">
          <cell r="B11">
            <v>8</v>
          </cell>
          <cell r="C11"/>
        </row>
        <row r="12">
          <cell r="B12">
            <v>9</v>
          </cell>
          <cell r="C12"/>
        </row>
        <row r="13">
          <cell r="B13">
            <v>10</v>
          </cell>
          <cell r="C13" t="str">
            <v>Y</v>
          </cell>
        </row>
        <row r="14">
          <cell r="B14">
            <v>11</v>
          </cell>
          <cell r="C14"/>
        </row>
        <row r="15">
          <cell r="B15">
            <v>12</v>
          </cell>
          <cell r="C15"/>
        </row>
      </sheetData>
      <sheetData sheetId="12">
        <row r="1">
          <cell r="A1" t="str">
            <v>Urras Baile Fhlodaigearraidh</v>
          </cell>
        </row>
        <row r="2">
          <cell r="A2" t="str">
            <v>Projected Trading and Profit and Loss Account</v>
          </cell>
        </row>
        <row r="3">
          <cell r="A3" t="str">
            <v>For the 3 Year Period ending 31 March 2020</v>
          </cell>
          <cell r="P3" t="str">
            <v xml:space="preserve">Total </v>
          </cell>
          <cell r="Q3" t="str">
            <v xml:space="preserve">Total </v>
          </cell>
          <cell r="R3" t="str">
            <v xml:space="preserve">Total </v>
          </cell>
        </row>
        <row r="4">
          <cell r="P4" t="str">
            <v>year ended</v>
          </cell>
          <cell r="Q4" t="str">
            <v>year ended</v>
          </cell>
          <cell r="R4" t="str">
            <v>year ended</v>
          </cell>
        </row>
        <row r="5">
          <cell r="D5">
            <v>42855</v>
          </cell>
          <cell r="E5">
            <v>42886</v>
          </cell>
          <cell r="F5">
            <v>42916</v>
          </cell>
          <cell r="G5">
            <v>42947</v>
          </cell>
          <cell r="H5">
            <v>42978</v>
          </cell>
          <cell r="I5">
            <v>43008</v>
          </cell>
          <cell r="J5">
            <v>43039</v>
          </cell>
          <cell r="K5">
            <v>43069</v>
          </cell>
          <cell r="L5">
            <v>43100</v>
          </cell>
          <cell r="M5">
            <v>43131</v>
          </cell>
          <cell r="N5">
            <v>43159</v>
          </cell>
          <cell r="O5">
            <v>43190</v>
          </cell>
          <cell r="P5">
            <v>43190</v>
          </cell>
          <cell r="Q5">
            <v>43555</v>
          </cell>
          <cell r="R5">
            <v>43921</v>
          </cell>
        </row>
        <row r="7">
          <cell r="A7" t="str">
            <v>Turnover</v>
          </cell>
        </row>
        <row r="8">
          <cell r="B8" t="str">
            <v>Cafe</v>
          </cell>
          <cell r="D8">
            <v>14950.000000000002</v>
          </cell>
          <cell r="E8">
            <v>20305</v>
          </cell>
          <cell r="F8">
            <v>19650</v>
          </cell>
          <cell r="G8">
            <v>22371.666666666668</v>
          </cell>
          <cell r="H8">
            <v>22371.666666666668</v>
          </cell>
          <cell r="I8">
            <v>19650</v>
          </cell>
          <cell r="J8">
            <v>18238.333333333336</v>
          </cell>
          <cell r="K8">
            <v>3573.3333333333335</v>
          </cell>
          <cell r="L8">
            <v>1429.3333333333335</v>
          </cell>
          <cell r="M8">
            <v>1429.3333333333335</v>
          </cell>
          <cell r="N8">
            <v>1429.3333333333335</v>
          </cell>
          <cell r="O8">
            <v>1429.3333333333335</v>
          </cell>
          <cell r="P8">
            <v>146827.3333333334</v>
          </cell>
          <cell r="Q8">
            <v>168851.43333333338</v>
          </cell>
          <cell r="R8">
            <v>194179.14833333335</v>
          </cell>
        </row>
        <row r="9">
          <cell r="B9" t="str">
            <v>Centre income</v>
          </cell>
          <cell r="D9">
            <v>4554.166666666667</v>
          </cell>
          <cell r="E9">
            <v>4554.166666666667</v>
          </cell>
          <cell r="F9">
            <v>4554.166666666667</v>
          </cell>
          <cell r="G9">
            <v>4554.166666666667</v>
          </cell>
          <cell r="H9">
            <v>4554.166666666667</v>
          </cell>
          <cell r="I9">
            <v>4554.166666666667</v>
          </cell>
          <cell r="J9">
            <v>4554.166666666667</v>
          </cell>
          <cell r="K9">
            <v>4554.166666666667</v>
          </cell>
          <cell r="L9">
            <v>4554.166666666667</v>
          </cell>
          <cell r="M9">
            <v>4554.166666666667</v>
          </cell>
          <cell r="N9">
            <v>4554.166666666667</v>
          </cell>
          <cell r="O9">
            <v>4554.166666666667</v>
          </cell>
          <cell r="P9">
            <v>54649.999999999993</v>
          </cell>
          <cell r="Q9">
            <v>60115.000000000022</v>
          </cell>
          <cell r="R9">
            <v>66126.499999999985</v>
          </cell>
        </row>
        <row r="10">
          <cell r="B10" t="str">
            <v>Centre accommodation</v>
          </cell>
          <cell r="D10">
            <v>3197.5</v>
          </cell>
          <cell r="E10">
            <v>3197.5</v>
          </cell>
          <cell r="F10">
            <v>3197.5</v>
          </cell>
          <cell r="G10">
            <v>3197.5</v>
          </cell>
          <cell r="H10">
            <v>3197.5</v>
          </cell>
          <cell r="I10">
            <v>3197.5</v>
          </cell>
          <cell r="J10">
            <v>3197.5</v>
          </cell>
          <cell r="K10">
            <v>3197.5</v>
          </cell>
          <cell r="L10">
            <v>3197.5</v>
          </cell>
          <cell r="M10">
            <v>3197.5</v>
          </cell>
          <cell r="N10">
            <v>3197.5</v>
          </cell>
          <cell r="O10">
            <v>3197.5</v>
          </cell>
          <cell r="P10">
            <v>38370</v>
          </cell>
          <cell r="Q10">
            <v>42207</v>
          </cell>
          <cell r="R10">
            <v>46427.69999999999</v>
          </cell>
        </row>
        <row r="11">
          <cell r="B11" t="str">
            <v>General accommodation</v>
          </cell>
          <cell r="D11">
            <v>12425</v>
          </cell>
          <cell r="E11">
            <v>12425</v>
          </cell>
          <cell r="F11">
            <v>12425</v>
          </cell>
          <cell r="G11">
            <v>12425</v>
          </cell>
          <cell r="H11">
            <v>12425</v>
          </cell>
          <cell r="I11">
            <v>12425</v>
          </cell>
          <cell r="J11">
            <v>0</v>
          </cell>
          <cell r="K11">
            <v>0</v>
          </cell>
          <cell r="L11">
            <v>0</v>
          </cell>
          <cell r="M11">
            <v>0</v>
          </cell>
          <cell r="N11">
            <v>0</v>
          </cell>
          <cell r="O11">
            <v>0</v>
          </cell>
          <cell r="P11">
            <v>74550</v>
          </cell>
          <cell r="Q11">
            <v>82005</v>
          </cell>
          <cell r="R11">
            <v>90205.5</v>
          </cell>
        </row>
        <row r="12">
          <cell r="B12" t="str">
            <v>Sales5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row>
        <row r="14">
          <cell r="D14">
            <v>35126.666666666672</v>
          </cell>
          <cell r="E14">
            <v>40481.666666666672</v>
          </cell>
          <cell r="F14">
            <v>39826.666666666672</v>
          </cell>
          <cell r="G14">
            <v>42548.333333333336</v>
          </cell>
          <cell r="H14">
            <v>42548.333333333336</v>
          </cell>
          <cell r="I14">
            <v>39826.666666666672</v>
          </cell>
          <cell r="J14">
            <v>25990.000000000004</v>
          </cell>
          <cell r="K14">
            <v>11325</v>
          </cell>
          <cell r="L14">
            <v>9181</v>
          </cell>
          <cell r="M14">
            <v>9181</v>
          </cell>
          <cell r="N14">
            <v>9181</v>
          </cell>
          <cell r="O14">
            <v>9181</v>
          </cell>
          <cell r="P14">
            <v>314397.33333333337</v>
          </cell>
          <cell r="Q14">
            <v>353178.43333333341</v>
          </cell>
          <cell r="R14">
            <v>396938.84833333333</v>
          </cell>
        </row>
        <row r="15">
          <cell r="A15" t="str">
            <v>Cost of Sales</v>
          </cell>
        </row>
        <row r="16">
          <cell r="B16" t="str">
            <v>Cafe purchases</v>
          </cell>
          <cell r="D16">
            <v>5980.0000000000009</v>
          </cell>
          <cell r="E16">
            <v>8122</v>
          </cell>
          <cell r="F16">
            <v>7860</v>
          </cell>
          <cell r="G16">
            <v>8948.6666666666679</v>
          </cell>
          <cell r="H16">
            <v>8948.6666666666679</v>
          </cell>
          <cell r="I16">
            <v>7860</v>
          </cell>
          <cell r="J16">
            <v>7295.3333333333348</v>
          </cell>
          <cell r="K16">
            <v>1429.3333333333335</v>
          </cell>
          <cell r="L16">
            <v>571.73333333333346</v>
          </cell>
          <cell r="M16">
            <v>571.73333333333346</v>
          </cell>
          <cell r="N16">
            <v>571.73333333333346</v>
          </cell>
          <cell r="O16">
            <v>571.73333333333346</v>
          </cell>
          <cell r="P16">
            <v>58730.933333333327</v>
          </cell>
          <cell r="Q16">
            <v>67540.573333333334</v>
          </cell>
          <cell r="R16">
            <v>77671.659333333315</v>
          </cell>
        </row>
        <row r="17">
          <cell r="B17" t="str">
            <v>Cafe wages</v>
          </cell>
          <cell r="D17">
            <v>6779.0927479033035</v>
          </cell>
          <cell r="E17">
            <v>9207.322959610472</v>
          </cell>
          <cell r="F17">
            <v>8910.3125415585218</v>
          </cell>
          <cell r="G17">
            <v>10144.455067458866</v>
          </cell>
          <cell r="H17">
            <v>10144.455067458866</v>
          </cell>
          <cell r="I17">
            <v>8910.3125415585218</v>
          </cell>
          <cell r="J17">
            <v>8270.1908517620795</v>
          </cell>
          <cell r="K17">
            <v>1620.3316445378687</v>
          </cell>
          <cell r="L17">
            <v>1620.3316445378687</v>
          </cell>
          <cell r="M17">
            <v>1620.3316445378687</v>
          </cell>
          <cell r="N17">
            <v>1620.3316445378687</v>
          </cell>
          <cell r="O17">
            <v>1620.3316445378687</v>
          </cell>
          <cell r="P17">
            <v>70467.799999999988</v>
          </cell>
          <cell r="Q17">
            <v>72581.833999999944</v>
          </cell>
          <cell r="R17">
            <v>74759.289019999938</v>
          </cell>
        </row>
        <row r="18">
          <cell r="B18" t="str">
            <v>Accommodation</v>
          </cell>
          <cell r="D18">
            <v>1562.25</v>
          </cell>
          <cell r="E18">
            <v>1562.25</v>
          </cell>
          <cell r="F18">
            <v>1562.25</v>
          </cell>
          <cell r="G18">
            <v>1562.25</v>
          </cell>
          <cell r="H18">
            <v>1562.25</v>
          </cell>
          <cell r="I18">
            <v>1562.25</v>
          </cell>
          <cell r="J18">
            <v>319.75</v>
          </cell>
          <cell r="K18">
            <v>319.75</v>
          </cell>
          <cell r="L18">
            <v>319.75</v>
          </cell>
          <cell r="M18">
            <v>319.75</v>
          </cell>
          <cell r="N18">
            <v>319.75</v>
          </cell>
          <cell r="O18">
            <v>319.75</v>
          </cell>
          <cell r="P18">
            <v>11292</v>
          </cell>
          <cell r="Q18">
            <v>12421.200000000003</v>
          </cell>
          <cell r="R18">
            <v>13663.319999999996</v>
          </cell>
        </row>
        <row r="19">
          <cell r="B19" t="str">
            <v>Accommodation wages</v>
          </cell>
          <cell r="D19">
            <v>6800.1906666666664</v>
          </cell>
          <cell r="E19">
            <v>6800.1906666666664</v>
          </cell>
          <cell r="F19">
            <v>6800.1906666666664</v>
          </cell>
          <cell r="G19">
            <v>6800.1906666666664</v>
          </cell>
          <cell r="H19">
            <v>6800.1906666666664</v>
          </cell>
          <cell r="I19">
            <v>6800.1906666666664</v>
          </cell>
          <cell r="J19">
            <v>6800.1906666666664</v>
          </cell>
          <cell r="K19">
            <v>6800.1906666666664</v>
          </cell>
          <cell r="L19">
            <v>6800.1906666666664</v>
          </cell>
          <cell r="M19">
            <v>6800.1906666666664</v>
          </cell>
          <cell r="N19">
            <v>6800.1906666666664</v>
          </cell>
          <cell r="O19">
            <v>6800.1906666666664</v>
          </cell>
          <cell r="P19">
            <v>81602.288</v>
          </cell>
          <cell r="Q19">
            <v>84050.356639999969</v>
          </cell>
          <cell r="R19">
            <v>86571.867339199991</v>
          </cell>
        </row>
        <row r="20">
          <cell r="B20" t="str">
            <v>Cost of sales 5</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row>
        <row r="22">
          <cell r="D22">
            <v>21121.533414569971</v>
          </cell>
          <cell r="E22">
            <v>25691.763626277138</v>
          </cell>
          <cell r="F22">
            <v>25132.753208225189</v>
          </cell>
          <cell r="G22">
            <v>27455.562400792198</v>
          </cell>
          <cell r="H22">
            <v>27455.562400792198</v>
          </cell>
          <cell r="I22">
            <v>25132.753208225189</v>
          </cell>
          <cell r="J22">
            <v>22685.464851762081</v>
          </cell>
          <cell r="K22">
            <v>10169.605644537869</v>
          </cell>
          <cell r="L22">
            <v>9312.0056445378686</v>
          </cell>
          <cell r="M22">
            <v>9312.0056445378686</v>
          </cell>
          <cell r="N22">
            <v>9312.0056445378686</v>
          </cell>
          <cell r="O22">
            <v>9312.0056445378686</v>
          </cell>
          <cell r="P22">
            <v>222093.02133333331</v>
          </cell>
          <cell r="Q22">
            <v>236593.96397333324</v>
          </cell>
          <cell r="R22">
            <v>252666.13569253325</v>
          </cell>
        </row>
        <row r="23">
          <cell r="A23" t="str">
            <v>Gross Profit</v>
          </cell>
          <cell r="D23">
            <v>14005.133252096701</v>
          </cell>
          <cell r="E23">
            <v>14789.903040389534</v>
          </cell>
          <cell r="F23">
            <v>14693.913458441482</v>
          </cell>
          <cell r="G23">
            <v>15092.770932541138</v>
          </cell>
          <cell r="H23">
            <v>15092.770932541138</v>
          </cell>
          <cell r="I23">
            <v>14693.913458441482</v>
          </cell>
          <cell r="J23">
            <v>3304.5351482379228</v>
          </cell>
          <cell r="K23">
            <v>1155.394355462131</v>
          </cell>
          <cell r="L23">
            <v>-131.00564453786865</v>
          </cell>
          <cell r="M23">
            <v>-131.00564453786865</v>
          </cell>
          <cell r="N23">
            <v>-131.00564453786865</v>
          </cell>
          <cell r="O23">
            <v>-131.00564453786865</v>
          </cell>
          <cell r="P23">
            <v>92304.312000000064</v>
          </cell>
          <cell r="Q23">
            <v>116584.46936000016</v>
          </cell>
          <cell r="R23">
            <v>144272.71264080008</v>
          </cell>
        </row>
        <row r="24">
          <cell r="A24" t="str">
            <v>Other Income</v>
          </cell>
        </row>
        <row r="25">
          <cell r="B25" t="str">
            <v>Development grant</v>
          </cell>
          <cell r="D25">
            <v>3000</v>
          </cell>
          <cell r="E25">
            <v>3000</v>
          </cell>
          <cell r="F25">
            <v>3000</v>
          </cell>
          <cell r="G25">
            <v>3000</v>
          </cell>
          <cell r="H25">
            <v>3000</v>
          </cell>
          <cell r="I25">
            <v>3000</v>
          </cell>
          <cell r="J25">
            <v>3000</v>
          </cell>
          <cell r="K25">
            <v>3000</v>
          </cell>
          <cell r="L25">
            <v>3000</v>
          </cell>
          <cell r="M25">
            <v>3000</v>
          </cell>
          <cell r="N25">
            <v>3000</v>
          </cell>
          <cell r="O25">
            <v>3000</v>
          </cell>
          <cell r="P25">
            <v>36000</v>
          </cell>
          <cell r="Q25">
            <v>36000</v>
          </cell>
          <cell r="R25">
            <v>0</v>
          </cell>
        </row>
        <row r="26">
          <cell r="B26" t="str">
            <v>Other income 2</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7">
          <cell r="B27" t="str">
            <v>Other income 3</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row>
        <row r="28">
          <cell r="B28" t="str">
            <v>Other income 4</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B29" t="str">
            <v>Interest receivable</v>
          </cell>
          <cell r="D29">
            <v>0</v>
          </cell>
          <cell r="E29">
            <v>0</v>
          </cell>
          <cell r="F29">
            <v>7.994063550055249</v>
          </cell>
          <cell r="G29">
            <v>20.90506287301357</v>
          </cell>
          <cell r="H29">
            <v>18.209026775347812</v>
          </cell>
          <cell r="I29">
            <v>32.618037852555993</v>
          </cell>
          <cell r="J29">
            <v>46.745774637756362</v>
          </cell>
          <cell r="K29">
            <v>34.355733169177356</v>
          </cell>
          <cell r="L29">
            <v>35.088007660442855</v>
          </cell>
          <cell r="M29">
            <v>36.110315185267218</v>
          </cell>
          <cell r="N29">
            <v>25.686957966362275</v>
          </cell>
          <cell r="O29">
            <v>22.534914616441579</v>
          </cell>
          <cell r="P29">
            <v>280.24789428642026</v>
          </cell>
          <cell r="Q29">
            <v>652.38422798131592</v>
          </cell>
          <cell r="R29">
            <v>1094.0175717563664</v>
          </cell>
        </row>
        <row r="30">
          <cell r="B30" t="str">
            <v>Deferred grants</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2">
          <cell r="D32">
            <v>3000</v>
          </cell>
          <cell r="E32">
            <v>3000</v>
          </cell>
          <cell r="F32">
            <v>3007.9940635500552</v>
          </cell>
          <cell r="G32">
            <v>3020.9050628730138</v>
          </cell>
          <cell r="H32">
            <v>3018.2090267753479</v>
          </cell>
          <cell r="I32">
            <v>3032.618037852556</v>
          </cell>
          <cell r="J32">
            <v>3046.7457746377563</v>
          </cell>
          <cell r="K32">
            <v>3034.3557331691773</v>
          </cell>
          <cell r="L32">
            <v>3035.0880076604431</v>
          </cell>
          <cell r="M32">
            <v>3036.1103151852672</v>
          </cell>
          <cell r="N32">
            <v>3025.6869579663621</v>
          </cell>
          <cell r="O32">
            <v>3022.5349146164417</v>
          </cell>
          <cell r="P32">
            <v>36280.247894286418</v>
          </cell>
          <cell r="Q32">
            <v>36652.384227981318</v>
          </cell>
          <cell r="R32">
            <v>1094.0175717563664</v>
          </cell>
        </row>
        <row r="34">
          <cell r="D34">
            <v>17005.133252096701</v>
          </cell>
          <cell r="E34">
            <v>17789.903040389534</v>
          </cell>
          <cell r="F34">
            <v>17701.907521991539</v>
          </cell>
          <cell r="G34">
            <v>18113.675995414153</v>
          </cell>
          <cell r="H34">
            <v>18110.979959316486</v>
          </cell>
          <cell r="I34">
            <v>17726.531496294039</v>
          </cell>
          <cell r="J34">
            <v>6351.2809228756796</v>
          </cell>
          <cell r="K34">
            <v>4189.7500886313082</v>
          </cell>
          <cell r="L34">
            <v>2904.0823631225744</v>
          </cell>
          <cell r="M34">
            <v>2905.1046706473985</v>
          </cell>
          <cell r="N34">
            <v>2894.6813134284935</v>
          </cell>
          <cell r="O34">
            <v>2891.5292700785731</v>
          </cell>
          <cell r="P34">
            <v>128584.55989428647</v>
          </cell>
          <cell r="Q34">
            <v>153236.85358798149</v>
          </cell>
          <cell r="R34">
            <v>145366.73021255643</v>
          </cell>
        </row>
        <row r="35">
          <cell r="A35" t="str">
            <v>Overheads</v>
          </cell>
        </row>
        <row r="36">
          <cell r="B36" t="str">
            <v>Development manager</v>
          </cell>
          <cell r="D36">
            <v>3000</v>
          </cell>
          <cell r="E36">
            <v>3000</v>
          </cell>
          <cell r="F36">
            <v>3000</v>
          </cell>
          <cell r="G36">
            <v>3000</v>
          </cell>
          <cell r="H36">
            <v>3000</v>
          </cell>
          <cell r="I36">
            <v>3000</v>
          </cell>
          <cell r="J36">
            <v>3000</v>
          </cell>
          <cell r="K36">
            <v>3000</v>
          </cell>
          <cell r="L36">
            <v>3000</v>
          </cell>
          <cell r="M36">
            <v>3000</v>
          </cell>
          <cell r="N36">
            <v>3000</v>
          </cell>
          <cell r="O36">
            <v>3000</v>
          </cell>
          <cell r="P36">
            <v>36000</v>
          </cell>
          <cell r="Q36">
            <v>36000</v>
          </cell>
          <cell r="R36">
            <v>36000</v>
          </cell>
        </row>
        <row r="37">
          <cell r="B37" t="str">
            <v>Administrator</v>
          </cell>
          <cell r="D37">
            <v>666.66666666666663</v>
          </cell>
          <cell r="E37">
            <v>666.66666666666663</v>
          </cell>
          <cell r="F37">
            <v>666.66666666666663</v>
          </cell>
          <cell r="G37">
            <v>666.66666666666663</v>
          </cell>
          <cell r="H37">
            <v>666.66666666666663</v>
          </cell>
          <cell r="I37">
            <v>666.66666666666663</v>
          </cell>
          <cell r="J37">
            <v>666.66666666666663</v>
          </cell>
          <cell r="K37">
            <v>666.66666666666663</v>
          </cell>
          <cell r="L37">
            <v>666.66666666666663</v>
          </cell>
          <cell r="M37">
            <v>666.66666666666663</v>
          </cell>
          <cell r="N37">
            <v>666.66666666666663</v>
          </cell>
          <cell r="O37">
            <v>666.66666666666663</v>
          </cell>
          <cell r="P37">
            <v>8000.0000000000009</v>
          </cell>
          <cell r="Q37">
            <v>8240.0000000000018</v>
          </cell>
          <cell r="R37">
            <v>8487.1999999999989</v>
          </cell>
        </row>
        <row r="38">
          <cell r="B38" t="str">
            <v>Rates and water</v>
          </cell>
          <cell r="D38">
            <v>666.66666666666663</v>
          </cell>
          <cell r="E38">
            <v>666.66666666666663</v>
          </cell>
          <cell r="F38">
            <v>666.66666666666663</v>
          </cell>
          <cell r="G38">
            <v>666.66666666666663</v>
          </cell>
          <cell r="H38">
            <v>666.66666666666663</v>
          </cell>
          <cell r="I38">
            <v>666.66666666666663</v>
          </cell>
          <cell r="J38">
            <v>666.66666666666663</v>
          </cell>
          <cell r="K38">
            <v>666.66666666666663</v>
          </cell>
          <cell r="L38">
            <v>666.66666666666663</v>
          </cell>
          <cell r="M38">
            <v>666.66666666666663</v>
          </cell>
          <cell r="N38">
            <v>666.66666666666663</v>
          </cell>
          <cell r="O38">
            <v>666.66666666666663</v>
          </cell>
          <cell r="P38">
            <v>8000.0000000000009</v>
          </cell>
          <cell r="Q38">
            <v>8240.0000000000018</v>
          </cell>
          <cell r="R38">
            <v>8487.1999999999989</v>
          </cell>
        </row>
        <row r="39">
          <cell r="B39" t="str">
            <v>Insurance</v>
          </cell>
          <cell r="D39">
            <v>416.66666666666669</v>
          </cell>
          <cell r="E39">
            <v>416.66666666666669</v>
          </cell>
          <cell r="F39">
            <v>416.66666666666669</v>
          </cell>
          <cell r="G39">
            <v>416.66666666666669</v>
          </cell>
          <cell r="H39">
            <v>416.66666666666669</v>
          </cell>
          <cell r="I39">
            <v>416.66666666666669</v>
          </cell>
          <cell r="J39">
            <v>416.66666666666669</v>
          </cell>
          <cell r="K39">
            <v>416.66666666666669</v>
          </cell>
          <cell r="L39">
            <v>416.66666666666669</v>
          </cell>
          <cell r="M39">
            <v>416.66666666666669</v>
          </cell>
          <cell r="N39">
            <v>416.66666666666669</v>
          </cell>
          <cell r="O39">
            <v>416.66666666666669</v>
          </cell>
          <cell r="P39">
            <v>5000</v>
          </cell>
          <cell r="Q39">
            <v>5150</v>
          </cell>
          <cell r="R39">
            <v>5304.5</v>
          </cell>
        </row>
        <row r="40">
          <cell r="B40" t="str">
            <v>Light &amp; heat</v>
          </cell>
          <cell r="D40">
            <v>1000</v>
          </cell>
          <cell r="E40">
            <v>1000</v>
          </cell>
          <cell r="F40">
            <v>1000</v>
          </cell>
          <cell r="G40">
            <v>1000</v>
          </cell>
          <cell r="H40">
            <v>1000</v>
          </cell>
          <cell r="I40">
            <v>1000</v>
          </cell>
          <cell r="J40">
            <v>1000</v>
          </cell>
          <cell r="K40">
            <v>1000</v>
          </cell>
          <cell r="L40">
            <v>1000</v>
          </cell>
          <cell r="M40">
            <v>1000</v>
          </cell>
          <cell r="N40">
            <v>1000</v>
          </cell>
          <cell r="O40">
            <v>1000</v>
          </cell>
          <cell r="P40">
            <v>12000</v>
          </cell>
          <cell r="Q40">
            <v>12360</v>
          </cell>
          <cell r="R40">
            <v>12730.799999999997</v>
          </cell>
        </row>
        <row r="41">
          <cell r="B41" t="str">
            <v>Telephone</v>
          </cell>
          <cell r="D41">
            <v>200</v>
          </cell>
          <cell r="E41">
            <v>200</v>
          </cell>
          <cell r="F41">
            <v>200</v>
          </cell>
          <cell r="G41">
            <v>200</v>
          </cell>
          <cell r="H41">
            <v>200</v>
          </cell>
          <cell r="I41">
            <v>200</v>
          </cell>
          <cell r="J41">
            <v>200</v>
          </cell>
          <cell r="K41">
            <v>200</v>
          </cell>
          <cell r="L41">
            <v>200</v>
          </cell>
          <cell r="M41">
            <v>200</v>
          </cell>
          <cell r="N41">
            <v>200</v>
          </cell>
          <cell r="O41">
            <v>200</v>
          </cell>
          <cell r="P41">
            <v>2400</v>
          </cell>
          <cell r="Q41">
            <v>2472</v>
          </cell>
          <cell r="R41">
            <v>2546.16</v>
          </cell>
        </row>
        <row r="42">
          <cell r="B42" t="str">
            <v>Post &amp; stationery</v>
          </cell>
          <cell r="D42">
            <v>240</v>
          </cell>
          <cell r="E42">
            <v>240</v>
          </cell>
          <cell r="F42">
            <v>240</v>
          </cell>
          <cell r="G42">
            <v>240</v>
          </cell>
          <cell r="H42">
            <v>240</v>
          </cell>
          <cell r="I42">
            <v>240</v>
          </cell>
          <cell r="J42">
            <v>240</v>
          </cell>
          <cell r="K42">
            <v>240</v>
          </cell>
          <cell r="L42">
            <v>240</v>
          </cell>
          <cell r="M42">
            <v>240</v>
          </cell>
          <cell r="N42">
            <v>240</v>
          </cell>
          <cell r="O42">
            <v>240</v>
          </cell>
          <cell r="P42">
            <v>2880</v>
          </cell>
          <cell r="Q42">
            <v>2966.3999999999996</v>
          </cell>
          <cell r="R42">
            <v>3055.3919999999998</v>
          </cell>
        </row>
        <row r="43">
          <cell r="B43" t="str">
            <v>Advertising</v>
          </cell>
          <cell r="D43">
            <v>8000</v>
          </cell>
          <cell r="E43">
            <v>1000</v>
          </cell>
          <cell r="F43">
            <v>1000</v>
          </cell>
          <cell r="G43">
            <v>1000</v>
          </cell>
          <cell r="H43">
            <v>1000</v>
          </cell>
          <cell r="I43">
            <v>1000</v>
          </cell>
          <cell r="J43">
            <v>1000</v>
          </cell>
          <cell r="K43">
            <v>1000</v>
          </cell>
          <cell r="L43">
            <v>1000</v>
          </cell>
          <cell r="M43">
            <v>1000</v>
          </cell>
          <cell r="N43">
            <v>1000</v>
          </cell>
          <cell r="O43">
            <v>1000</v>
          </cell>
          <cell r="P43">
            <v>19000</v>
          </cell>
          <cell r="Q43">
            <v>15450</v>
          </cell>
          <cell r="R43">
            <v>15913.499999999996</v>
          </cell>
        </row>
        <row r="44">
          <cell r="B44" t="str">
            <v>Repairs &amp; renewals</v>
          </cell>
          <cell r="D44">
            <v>250</v>
          </cell>
          <cell r="E44">
            <v>250</v>
          </cell>
          <cell r="F44">
            <v>250</v>
          </cell>
          <cell r="G44">
            <v>250</v>
          </cell>
          <cell r="H44">
            <v>250</v>
          </cell>
          <cell r="I44">
            <v>250</v>
          </cell>
          <cell r="J44">
            <v>250</v>
          </cell>
          <cell r="K44">
            <v>250</v>
          </cell>
          <cell r="L44">
            <v>250</v>
          </cell>
          <cell r="M44">
            <v>250</v>
          </cell>
          <cell r="N44">
            <v>250</v>
          </cell>
          <cell r="O44">
            <v>250</v>
          </cell>
          <cell r="P44">
            <v>3000</v>
          </cell>
          <cell r="Q44">
            <v>3090</v>
          </cell>
          <cell r="R44">
            <v>3182.6999999999994</v>
          </cell>
        </row>
        <row r="45">
          <cell r="B45" t="str">
            <v>Sundry expenses</v>
          </cell>
          <cell r="D45">
            <v>250</v>
          </cell>
          <cell r="E45">
            <v>250</v>
          </cell>
          <cell r="F45">
            <v>250</v>
          </cell>
          <cell r="G45">
            <v>250</v>
          </cell>
          <cell r="H45">
            <v>250</v>
          </cell>
          <cell r="I45">
            <v>250</v>
          </cell>
          <cell r="J45">
            <v>250</v>
          </cell>
          <cell r="K45">
            <v>250</v>
          </cell>
          <cell r="L45">
            <v>250</v>
          </cell>
          <cell r="M45">
            <v>250</v>
          </cell>
          <cell r="N45">
            <v>250</v>
          </cell>
          <cell r="O45">
            <v>250</v>
          </cell>
          <cell r="P45">
            <v>3000</v>
          </cell>
          <cell r="Q45">
            <v>3090</v>
          </cell>
          <cell r="R45">
            <v>3182.6999999999994</v>
          </cell>
        </row>
        <row r="46">
          <cell r="B46" t="str">
            <v>Training</v>
          </cell>
          <cell r="D46">
            <v>2700</v>
          </cell>
          <cell r="E46">
            <v>100</v>
          </cell>
          <cell r="F46">
            <v>100</v>
          </cell>
          <cell r="G46">
            <v>100</v>
          </cell>
          <cell r="H46">
            <v>100</v>
          </cell>
          <cell r="I46">
            <v>100</v>
          </cell>
          <cell r="J46">
            <v>100</v>
          </cell>
          <cell r="K46">
            <v>100</v>
          </cell>
          <cell r="L46">
            <v>100</v>
          </cell>
          <cell r="M46">
            <v>100</v>
          </cell>
          <cell r="N46">
            <v>100</v>
          </cell>
          <cell r="O46">
            <v>100</v>
          </cell>
          <cell r="P46">
            <v>3800</v>
          </cell>
          <cell r="Q46">
            <v>1236</v>
          </cell>
          <cell r="R46">
            <v>1273.08</v>
          </cell>
        </row>
        <row r="47">
          <cell r="B47" t="str">
            <v>Licences</v>
          </cell>
          <cell r="D47">
            <v>125</v>
          </cell>
          <cell r="E47">
            <v>125</v>
          </cell>
          <cell r="F47">
            <v>125</v>
          </cell>
          <cell r="G47">
            <v>125</v>
          </cell>
          <cell r="H47">
            <v>125</v>
          </cell>
          <cell r="I47">
            <v>125</v>
          </cell>
          <cell r="J47">
            <v>125</v>
          </cell>
          <cell r="K47">
            <v>125</v>
          </cell>
          <cell r="L47">
            <v>125</v>
          </cell>
          <cell r="M47">
            <v>125</v>
          </cell>
          <cell r="N47">
            <v>125</v>
          </cell>
          <cell r="O47">
            <v>125</v>
          </cell>
          <cell r="P47">
            <v>1500</v>
          </cell>
          <cell r="Q47">
            <v>1545</v>
          </cell>
          <cell r="R47">
            <v>1591.3499999999997</v>
          </cell>
        </row>
        <row r="48">
          <cell r="B48" t="str">
            <v>Professional fees &amp; subscriptions</v>
          </cell>
          <cell r="D48">
            <v>208.33333333333334</v>
          </cell>
          <cell r="E48">
            <v>208.33333333333334</v>
          </cell>
          <cell r="F48">
            <v>208.33333333333334</v>
          </cell>
          <cell r="G48">
            <v>208.33333333333334</v>
          </cell>
          <cell r="H48">
            <v>208.33333333333334</v>
          </cell>
          <cell r="I48">
            <v>208.33333333333334</v>
          </cell>
          <cell r="J48">
            <v>208.33333333333334</v>
          </cell>
          <cell r="K48">
            <v>208.33333333333334</v>
          </cell>
          <cell r="L48">
            <v>208.33333333333334</v>
          </cell>
          <cell r="M48">
            <v>208.33333333333334</v>
          </cell>
          <cell r="N48">
            <v>208.33333333333334</v>
          </cell>
          <cell r="O48">
            <v>208.33333333333334</v>
          </cell>
          <cell r="P48">
            <v>2500</v>
          </cell>
          <cell r="Q48">
            <v>2575</v>
          </cell>
          <cell r="R48">
            <v>2652.25</v>
          </cell>
        </row>
        <row r="49">
          <cell r="B49" t="str">
            <v>Accountancy</v>
          </cell>
          <cell r="D49">
            <v>208.33333333333334</v>
          </cell>
          <cell r="E49">
            <v>208.33333333333334</v>
          </cell>
          <cell r="F49">
            <v>208.33333333333334</v>
          </cell>
          <cell r="G49">
            <v>208.33333333333334</v>
          </cell>
          <cell r="H49">
            <v>208.33333333333334</v>
          </cell>
          <cell r="I49">
            <v>208.33333333333334</v>
          </cell>
          <cell r="J49">
            <v>208.33333333333334</v>
          </cell>
          <cell r="K49">
            <v>208.33333333333334</v>
          </cell>
          <cell r="L49">
            <v>208.33333333333334</v>
          </cell>
          <cell r="M49">
            <v>208.33333333333334</v>
          </cell>
          <cell r="N49">
            <v>208.33333333333334</v>
          </cell>
          <cell r="O49">
            <v>208.33333333333334</v>
          </cell>
          <cell r="P49">
            <v>2500</v>
          </cell>
          <cell r="Q49">
            <v>2575</v>
          </cell>
          <cell r="R49">
            <v>2652.25</v>
          </cell>
        </row>
        <row r="50">
          <cell r="B50" t="str">
            <v xml:space="preserve">Bank charges </v>
          </cell>
          <cell r="D50">
            <v>208.33333333333334</v>
          </cell>
          <cell r="E50">
            <v>208.33333333333334</v>
          </cell>
          <cell r="F50">
            <v>208.33333333333334</v>
          </cell>
          <cell r="G50">
            <v>208.33333333333334</v>
          </cell>
          <cell r="H50">
            <v>208.33333333333334</v>
          </cell>
          <cell r="I50">
            <v>208.33333333333334</v>
          </cell>
          <cell r="J50">
            <v>208.33333333333334</v>
          </cell>
          <cell r="K50">
            <v>208.33333333333334</v>
          </cell>
          <cell r="L50">
            <v>208.33333333333334</v>
          </cell>
          <cell r="M50">
            <v>208.33333333333334</v>
          </cell>
          <cell r="N50">
            <v>208.33333333333334</v>
          </cell>
          <cell r="O50">
            <v>208.33333333333334</v>
          </cell>
          <cell r="P50">
            <v>2500</v>
          </cell>
          <cell r="Q50">
            <v>2575</v>
          </cell>
          <cell r="R50">
            <v>2652.25</v>
          </cell>
        </row>
        <row r="51">
          <cell r="B51" t="str">
            <v>Overhead 16</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row>
        <row r="52">
          <cell r="B52" t="str">
            <v>Overhead 17</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row>
        <row r="53">
          <cell r="B53" t="str">
            <v>Overhead 18</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row>
        <row r="54">
          <cell r="B54" t="str">
            <v>Overhead 19</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row>
        <row r="55">
          <cell r="B55" t="str">
            <v>Overhead 20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row>
        <row r="56">
          <cell r="B56" t="str">
            <v>Depreciation</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row>
        <row r="57">
          <cell r="B57" t="str">
            <v>Loan interest payable</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row>
        <row r="58">
          <cell r="B58" t="str">
            <v>Interest payable</v>
          </cell>
          <cell r="D58">
            <v>0</v>
          </cell>
          <cell r="E58">
            <v>7.0933441648782417E-2</v>
          </cell>
          <cell r="F58">
            <v>0</v>
          </cell>
          <cell r="G58">
            <v>0</v>
          </cell>
          <cell r="H58">
            <v>0</v>
          </cell>
          <cell r="I58">
            <v>0</v>
          </cell>
          <cell r="J58">
            <v>0</v>
          </cell>
          <cell r="K58">
            <v>0</v>
          </cell>
          <cell r="L58">
            <v>0</v>
          </cell>
          <cell r="M58">
            <v>0</v>
          </cell>
          <cell r="N58">
            <v>0</v>
          </cell>
          <cell r="O58">
            <v>0</v>
          </cell>
          <cell r="P58">
            <v>7.0933441648782417E-2</v>
          </cell>
          <cell r="Q58">
            <v>0</v>
          </cell>
          <cell r="R58">
            <v>0</v>
          </cell>
        </row>
        <row r="60">
          <cell r="D60">
            <v>18139.999999999996</v>
          </cell>
          <cell r="E60">
            <v>8540.0709334416497</v>
          </cell>
          <cell r="F60">
            <v>8540</v>
          </cell>
          <cell r="G60">
            <v>8540</v>
          </cell>
          <cell r="H60">
            <v>8540</v>
          </cell>
          <cell r="I60">
            <v>8540</v>
          </cell>
          <cell r="J60">
            <v>8540</v>
          </cell>
          <cell r="K60">
            <v>8540</v>
          </cell>
          <cell r="L60">
            <v>8540</v>
          </cell>
          <cell r="M60">
            <v>8540</v>
          </cell>
          <cell r="N60">
            <v>8540</v>
          </cell>
          <cell r="O60">
            <v>8540</v>
          </cell>
          <cell r="P60">
            <v>112080.07093344165</v>
          </cell>
          <cell r="Q60">
            <v>107564.4</v>
          </cell>
          <cell r="R60">
            <v>109711.33200000001</v>
          </cell>
        </row>
        <row r="62">
          <cell r="A62" t="str">
            <v>Profit/(Loss) before Tax</v>
          </cell>
          <cell r="D62">
            <v>-1134.8667479032956</v>
          </cell>
          <cell r="E62">
            <v>9249.8321069478843</v>
          </cell>
          <cell r="F62">
            <v>9161.9075219915394</v>
          </cell>
          <cell r="G62">
            <v>9573.6759954141526</v>
          </cell>
          <cell r="H62">
            <v>9570.9799593164862</v>
          </cell>
          <cell r="I62">
            <v>9186.5314962940392</v>
          </cell>
          <cell r="J62">
            <v>-2188.7190771243204</v>
          </cell>
          <cell r="K62">
            <v>-4350.2499113686918</v>
          </cell>
          <cell r="L62">
            <v>-5635.917636877426</v>
          </cell>
          <cell r="M62">
            <v>-5634.895329352601</v>
          </cell>
          <cell r="N62">
            <v>-5645.318686571507</v>
          </cell>
          <cell r="O62">
            <v>-5648.4707299214269</v>
          </cell>
          <cell r="P62">
            <v>16504.488960844828</v>
          </cell>
          <cell r="Q62">
            <v>45672.453587981494</v>
          </cell>
          <cell r="R62">
            <v>35655.398212556422</v>
          </cell>
        </row>
        <row r="63">
          <cell r="B63" t="str">
            <v>Taxation</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row>
        <row r="64">
          <cell r="A64" t="str">
            <v>Profit/(Loss) after Tax</v>
          </cell>
          <cell r="D64">
            <v>-1134.8667479032956</v>
          </cell>
          <cell r="E64">
            <v>9249.8321069478843</v>
          </cell>
          <cell r="F64">
            <v>9161.9075219915394</v>
          </cell>
          <cell r="G64">
            <v>9573.6759954141526</v>
          </cell>
          <cell r="H64">
            <v>9570.9799593164862</v>
          </cell>
          <cell r="I64">
            <v>9186.5314962940392</v>
          </cell>
          <cell r="J64">
            <v>-2188.7190771243204</v>
          </cell>
          <cell r="K64">
            <v>-4350.2499113686918</v>
          </cell>
          <cell r="L64">
            <v>-5635.917636877426</v>
          </cell>
          <cell r="M64">
            <v>-5634.895329352601</v>
          </cell>
          <cell r="N64">
            <v>-5645.318686571507</v>
          </cell>
          <cell r="O64">
            <v>-5648.4707299214269</v>
          </cell>
          <cell r="P64">
            <v>16504.488960844828</v>
          </cell>
          <cell r="Q64">
            <v>45672.453587981494</v>
          </cell>
          <cell r="R64">
            <v>35655.398212556422</v>
          </cell>
        </row>
        <row r="73">
          <cell r="A73" t="str">
            <v>Urras Baile Fhlodaigearraidh</v>
          </cell>
        </row>
        <row r="74">
          <cell r="A74" t="str">
            <v>Projected Cash Flow</v>
          </cell>
        </row>
        <row r="75">
          <cell r="A75" t="str">
            <v>For the 3 Year Period ending 31 March 2020</v>
          </cell>
        </row>
        <row r="76">
          <cell r="P76" t="str">
            <v xml:space="preserve">Total </v>
          </cell>
          <cell r="Q76" t="str">
            <v xml:space="preserve">Total </v>
          </cell>
          <cell r="R76" t="str">
            <v xml:space="preserve">Total </v>
          </cell>
        </row>
        <row r="77">
          <cell r="D77">
            <v>42855</v>
          </cell>
          <cell r="E77">
            <v>42886</v>
          </cell>
          <cell r="F77">
            <v>42916</v>
          </cell>
          <cell r="G77">
            <v>42947</v>
          </cell>
          <cell r="H77">
            <v>42978</v>
          </cell>
          <cell r="I77">
            <v>43008</v>
          </cell>
          <cell r="J77">
            <v>43039</v>
          </cell>
          <cell r="K77">
            <v>43069</v>
          </cell>
          <cell r="L77">
            <v>43100</v>
          </cell>
          <cell r="M77">
            <v>43131</v>
          </cell>
          <cell r="N77">
            <v>43159</v>
          </cell>
          <cell r="O77">
            <v>43190</v>
          </cell>
          <cell r="P77">
            <v>43190</v>
          </cell>
          <cell r="Q77">
            <v>43555</v>
          </cell>
          <cell r="R77">
            <v>43921</v>
          </cell>
        </row>
        <row r="79">
          <cell r="A79" t="str">
            <v>Net Profit/(Loss) per Profit &amp; Loss</v>
          </cell>
        </row>
        <row r="80">
          <cell r="B80" t="str">
            <v>Account before Tax</v>
          </cell>
          <cell r="D80">
            <v>-1134.8667479032956</v>
          </cell>
          <cell r="E80">
            <v>9249.8321069478843</v>
          </cell>
          <cell r="F80">
            <v>9161.9075219915394</v>
          </cell>
          <cell r="G80">
            <v>9573.6759954141526</v>
          </cell>
          <cell r="H80">
            <v>9570.9799593164862</v>
          </cell>
          <cell r="I80">
            <v>9186.5314962940392</v>
          </cell>
          <cell r="J80">
            <v>-2188.7190771243204</v>
          </cell>
          <cell r="K80">
            <v>-4350.2499113686918</v>
          </cell>
          <cell r="L80">
            <v>-5635.917636877426</v>
          </cell>
          <cell r="M80">
            <v>-5634.895329352601</v>
          </cell>
          <cell r="N80">
            <v>-5645.318686571507</v>
          </cell>
          <cell r="O80">
            <v>-5648.4707299214269</v>
          </cell>
          <cell r="P80">
            <v>16504.488960844832</v>
          </cell>
          <cell r="Q80">
            <v>45672.453587981494</v>
          </cell>
          <cell r="R80">
            <v>35655.398212556422</v>
          </cell>
        </row>
        <row r="82">
          <cell r="A82" t="str">
            <v>Items not involving Cash Funds</v>
          </cell>
        </row>
        <row r="83">
          <cell r="B83" t="str">
            <v>Depreciation</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row>
        <row r="84">
          <cell r="B84" t="str">
            <v>Deferred Grants - Income</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row>
        <row r="85">
          <cell r="D85">
            <v>-1134.8667479032956</v>
          </cell>
          <cell r="E85">
            <v>9249.8321069478843</v>
          </cell>
          <cell r="F85">
            <v>9161.9075219915394</v>
          </cell>
          <cell r="G85">
            <v>9573.6759954141526</v>
          </cell>
          <cell r="H85">
            <v>9570.9799593164862</v>
          </cell>
          <cell r="I85">
            <v>9186.5314962940392</v>
          </cell>
          <cell r="J85">
            <v>-2188.7190771243204</v>
          </cell>
          <cell r="K85">
            <v>-4350.2499113686918</v>
          </cell>
          <cell r="L85">
            <v>-5635.917636877426</v>
          </cell>
          <cell r="M85">
            <v>-5634.895329352601</v>
          </cell>
          <cell r="N85">
            <v>-5645.318686571507</v>
          </cell>
          <cell r="O85">
            <v>-5648.4707299214269</v>
          </cell>
          <cell r="P85">
            <v>16504.488960844832</v>
          </cell>
          <cell r="Q85">
            <v>45672.453587981494</v>
          </cell>
          <cell r="R85">
            <v>35655.398212556422</v>
          </cell>
        </row>
        <row r="86">
          <cell r="A86" t="str">
            <v>Add: Funds from Other</v>
          </cell>
        </row>
        <row r="87">
          <cell r="B87" t="str">
            <v>Sources</v>
          </cell>
        </row>
        <row r="88">
          <cell r="B88" t="str">
            <v>Loan 1: Loan 1</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row>
        <row r="89">
          <cell r="B89" t="str">
            <v>Loan 2: Loan 2</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row>
        <row r="90">
          <cell r="B90" t="str">
            <v>Loan 3: Loan 3</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row>
        <row r="91">
          <cell r="B91" t="str">
            <v>Loan 4: Loan 4</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row>
        <row r="92">
          <cell r="B92" t="str">
            <v>Grants received</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row>
        <row r="93">
          <cell r="B93" t="str">
            <v>Share capital issued</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row>
        <row r="96">
          <cell r="D96">
            <v>-1134.8667479032956</v>
          </cell>
          <cell r="E96">
            <v>9249.8321069478843</v>
          </cell>
          <cell r="F96">
            <v>9161.9075219915394</v>
          </cell>
          <cell r="G96">
            <v>9573.6759954141526</v>
          </cell>
          <cell r="H96">
            <v>9570.9799593164862</v>
          </cell>
          <cell r="I96">
            <v>9186.5314962940392</v>
          </cell>
          <cell r="J96">
            <v>-2188.7190771243204</v>
          </cell>
          <cell r="K96">
            <v>-4350.2499113686918</v>
          </cell>
          <cell r="L96">
            <v>-5635.917636877426</v>
          </cell>
          <cell r="M96">
            <v>-5634.895329352601</v>
          </cell>
          <cell r="N96">
            <v>-5645.318686571507</v>
          </cell>
          <cell r="O96">
            <v>-5648.4707299214269</v>
          </cell>
          <cell r="P96">
            <v>16504.488960844832</v>
          </cell>
          <cell r="Q96">
            <v>45672.453587981494</v>
          </cell>
          <cell r="R96">
            <v>35655.398212556422</v>
          </cell>
        </row>
        <row r="97">
          <cell r="A97" t="str">
            <v>Less: Capital Expenditure</v>
          </cell>
        </row>
        <row r="98">
          <cell r="B98" t="str">
            <v>Ionad Fhlodaigearraidh</v>
          </cell>
        </row>
        <row r="99">
          <cell r="C99" t="str">
            <v>Cap Exp item 1</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Cap Exp item 2</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C101" t="str">
            <v>Cap Exp item 3</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B103" t="str">
            <v>Cap Exp class 2</v>
          </cell>
        </row>
        <row r="104">
          <cell r="C104" t="str">
            <v>Cap Exp item 1</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row>
        <row r="105">
          <cell r="C105" t="str">
            <v>Cap Exp item 2</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row>
        <row r="106">
          <cell r="C106" t="str">
            <v>Cap Exp item 3</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row>
        <row r="107">
          <cell r="C107" t="str">
            <v>Cap Exp item 4</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row>
        <row r="108">
          <cell r="C108" t="str">
            <v>Cap Exp item 5</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Cap Exp item 6</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C110" t="str">
            <v>Cap Exp item 7</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Cap Exp item 8</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row>
        <row r="112">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row>
        <row r="113">
          <cell r="B113" t="str">
            <v>Cap Exp class 3</v>
          </cell>
        </row>
        <row r="114">
          <cell r="C114" t="str">
            <v>Cap Exp item 1</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row>
        <row r="115">
          <cell r="C115" t="str">
            <v>Cap Exp item 2</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row>
        <row r="116">
          <cell r="C116" t="str">
            <v>Cap Exp item 3</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row>
        <row r="117">
          <cell r="C117" t="str">
            <v>Cap Exp item 4</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row>
        <row r="118">
          <cell r="C118" t="str">
            <v>Cap Exp item 5</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row>
        <row r="120">
          <cell r="B120" t="str">
            <v>Cap Exp class 4</v>
          </cell>
        </row>
        <row r="121">
          <cell r="C121" t="str">
            <v>Cap Exp item 1</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row>
        <row r="122">
          <cell r="C122" t="str">
            <v>Cap Exp item 2</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row>
        <row r="123">
          <cell r="C123" t="str">
            <v>Cap Exp item 3</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Cap Exp item 4</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row>
        <row r="125">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B126" t="str">
            <v>Total Fixed Asset exp</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B127" t="str">
            <v>Loan repayments (capital)</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row>
        <row r="129">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D130">
            <v>-1134.8667479032956</v>
          </cell>
          <cell r="E130">
            <v>9249.8321069478843</v>
          </cell>
          <cell r="F130">
            <v>9161.9075219915394</v>
          </cell>
          <cell r="G130">
            <v>9573.6759954141526</v>
          </cell>
          <cell r="H130">
            <v>9570.9799593164862</v>
          </cell>
          <cell r="I130">
            <v>9186.5314962940392</v>
          </cell>
          <cell r="J130">
            <v>-2188.7190771243204</v>
          </cell>
          <cell r="K130">
            <v>-4350.2499113686918</v>
          </cell>
          <cell r="L130">
            <v>-5635.917636877426</v>
          </cell>
          <cell r="M130">
            <v>-5634.895329352601</v>
          </cell>
          <cell r="N130">
            <v>-5645.318686571507</v>
          </cell>
          <cell r="O130">
            <v>-5648.4707299214269</v>
          </cell>
          <cell r="P130">
            <v>16504.488960844832</v>
          </cell>
          <cell r="Q130">
            <v>45672.453587981494</v>
          </cell>
          <cell r="R130">
            <v>35655.398212556422</v>
          </cell>
        </row>
        <row r="131">
          <cell r="A131" t="str">
            <v>Working Capital Movements</v>
          </cell>
        </row>
        <row r="132">
          <cell r="B132" t="str">
            <v>Stocks</v>
          </cell>
          <cell r="D132">
            <v>-5000</v>
          </cell>
          <cell r="E132">
            <v>0</v>
          </cell>
          <cell r="F132">
            <v>0</v>
          </cell>
          <cell r="G132">
            <v>0</v>
          </cell>
          <cell r="H132">
            <v>0</v>
          </cell>
          <cell r="I132">
            <v>0</v>
          </cell>
          <cell r="J132">
            <v>0</v>
          </cell>
          <cell r="K132">
            <v>0</v>
          </cell>
          <cell r="L132">
            <v>0</v>
          </cell>
          <cell r="M132">
            <v>0</v>
          </cell>
          <cell r="N132">
            <v>0</v>
          </cell>
          <cell r="O132">
            <v>0</v>
          </cell>
          <cell r="P132">
            <v>-5000</v>
          </cell>
          <cell r="Q132">
            <v>0</v>
          </cell>
          <cell r="R132">
            <v>0</v>
          </cell>
        </row>
        <row r="133">
          <cell r="B133" t="str">
            <v>Debtors</v>
          </cell>
          <cell r="D133">
            <v>-16425</v>
          </cell>
          <cell r="E133">
            <v>-11425.5</v>
          </cell>
          <cell r="F133">
            <v>-1213.5</v>
          </cell>
          <cell r="G133">
            <v>-1436.5</v>
          </cell>
          <cell r="H133">
            <v>-816.5</v>
          </cell>
          <cell r="I133">
            <v>1633</v>
          </cell>
          <cell r="J133">
            <v>9118.5</v>
          </cell>
          <cell r="K133">
            <v>12950</v>
          </cell>
          <cell r="L133">
            <v>5685.9000000000005</v>
          </cell>
          <cell r="M133">
            <v>643.20000000000005</v>
          </cell>
          <cell r="N133">
            <v>0</v>
          </cell>
          <cell r="O133">
            <v>0</v>
          </cell>
          <cell r="P133">
            <v>-1286.3999999999994</v>
          </cell>
          <cell r="Q133">
            <v>-192.95999999999913</v>
          </cell>
          <cell r="R133">
            <v>-221.90399999999818</v>
          </cell>
        </row>
        <row r="134">
          <cell r="B134" t="str">
            <v>Creditors</v>
          </cell>
          <cell r="D134">
            <v>16897.226731655977</v>
          </cell>
          <cell r="E134">
            <v>3656.1841693657334</v>
          </cell>
          <cell r="F134">
            <v>-447.20833444155869</v>
          </cell>
          <cell r="G134">
            <v>1858.2473540536084</v>
          </cell>
          <cell r="H134">
            <v>0</v>
          </cell>
          <cell r="I134">
            <v>-1858.2473540536084</v>
          </cell>
          <cell r="J134">
            <v>-1957.8306851704874</v>
          </cell>
          <cell r="K134">
            <v>-10012.687365779369</v>
          </cell>
          <cell r="L134">
            <v>-686.07999999999993</v>
          </cell>
          <cell r="M134">
            <v>0</v>
          </cell>
          <cell r="N134">
            <v>0</v>
          </cell>
          <cell r="O134">
            <v>0</v>
          </cell>
          <cell r="P134">
            <v>7449.6045156302953</v>
          </cell>
          <cell r="Q134">
            <v>296.28053546890897</v>
          </cell>
          <cell r="R134">
            <v>315.19251153297409</v>
          </cell>
        </row>
        <row r="135">
          <cell r="B135" t="str">
            <v>VAT</v>
          </cell>
          <cell r="D135">
            <v>5652.0000000000009</v>
          </cell>
          <cell r="E135">
            <v>8123.0000000000009</v>
          </cell>
          <cell r="F135">
            <v>7992.0000000000018</v>
          </cell>
          <cell r="G135">
            <v>-13230.666666666672</v>
          </cell>
          <cell r="H135">
            <v>8536.3333333333321</v>
          </cell>
          <cell r="I135">
            <v>7992</v>
          </cell>
          <cell r="J135">
            <v>-19839.999999999996</v>
          </cell>
          <cell r="K135">
            <v>2291.6666666666661</v>
          </cell>
          <cell r="L135">
            <v>1862.8666666666668</v>
          </cell>
          <cell r="M135">
            <v>-7516.3333333333339</v>
          </cell>
          <cell r="N135">
            <v>1862.8666666666668</v>
          </cell>
          <cell r="O135">
            <v>1862.8666666666668</v>
          </cell>
          <cell r="P135">
            <v>5588.6</v>
          </cell>
          <cell r="Q135">
            <v>542.14000000000215</v>
          </cell>
          <cell r="R135">
            <v>-1193.6020000000017</v>
          </cell>
        </row>
        <row r="136">
          <cell r="C136" t="str">
            <v xml:space="preserve"> </v>
          </cell>
          <cell r="D136">
            <v>1124.2267316559783</v>
          </cell>
          <cell r="E136">
            <v>353.68416936573431</v>
          </cell>
          <cell r="F136">
            <v>6331.2916655584431</v>
          </cell>
          <cell r="G136">
            <v>-12808.919312613063</v>
          </cell>
          <cell r="H136">
            <v>7719.8333333333321</v>
          </cell>
          <cell r="I136">
            <v>7766.7526459463916</v>
          </cell>
          <cell r="J136">
            <v>-12679.330685170484</v>
          </cell>
          <cell r="K136">
            <v>5228.9793008872966</v>
          </cell>
          <cell r="L136">
            <v>6862.6866666666674</v>
          </cell>
          <cell r="M136">
            <v>-6873.1333333333341</v>
          </cell>
          <cell r="N136">
            <v>1862.8666666666668</v>
          </cell>
          <cell r="O136">
            <v>1862.8666666666668</v>
          </cell>
          <cell r="P136">
            <v>6751.804515630296</v>
          </cell>
          <cell r="Q136">
            <v>645.46053546891198</v>
          </cell>
          <cell r="R136">
            <v>-1100.3134884670258</v>
          </cell>
        </row>
        <row r="137">
          <cell r="D137">
            <v>-10.640016247317362</v>
          </cell>
          <cell r="E137">
            <v>9603.5162763136177</v>
          </cell>
          <cell r="F137">
            <v>15493.199187549983</v>
          </cell>
          <cell r="G137">
            <v>-3235.2433171989105</v>
          </cell>
          <cell r="H137">
            <v>17290.813292649818</v>
          </cell>
          <cell r="I137">
            <v>16953.284142240431</v>
          </cell>
          <cell r="J137">
            <v>-14868.049762294804</v>
          </cell>
          <cell r="K137">
            <v>878.72938951860488</v>
          </cell>
          <cell r="L137">
            <v>1226.7690297892414</v>
          </cell>
          <cell r="M137">
            <v>-12508.028662685934</v>
          </cell>
          <cell r="N137">
            <v>-3782.4520199048402</v>
          </cell>
          <cell r="O137">
            <v>-3785.6040632547601</v>
          </cell>
          <cell r="P137">
            <v>23256.293476475126</v>
          </cell>
          <cell r="Q137">
            <v>46317.914123450406</v>
          </cell>
          <cell r="R137">
            <v>34555.084724089393</v>
          </cell>
        </row>
        <row r="139">
          <cell r="B139" t="str">
            <v>Taxation Paid</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row>
        <row r="141">
          <cell r="A141" t="str">
            <v>Net Increase/(Decrease)</v>
          </cell>
          <cell r="D141">
            <v>-10.640016247317362</v>
          </cell>
          <cell r="E141">
            <v>9603.5162763136177</v>
          </cell>
          <cell r="F141">
            <v>15493.199187549983</v>
          </cell>
          <cell r="G141">
            <v>-3235.2433171989105</v>
          </cell>
          <cell r="H141">
            <v>17290.813292649818</v>
          </cell>
          <cell r="I141">
            <v>16953.284142240431</v>
          </cell>
          <cell r="J141">
            <v>-14868.049762294804</v>
          </cell>
          <cell r="K141">
            <v>878.72938951860488</v>
          </cell>
          <cell r="L141">
            <v>1226.7690297892414</v>
          </cell>
          <cell r="M141">
            <v>-12508.028662685934</v>
          </cell>
          <cell r="N141">
            <v>-3782.4520199048402</v>
          </cell>
          <cell r="O141">
            <v>-3785.6040632547601</v>
          </cell>
          <cell r="P141">
            <v>23256.293476475126</v>
          </cell>
          <cell r="Q141">
            <v>46317.914123450406</v>
          </cell>
          <cell r="R141">
            <v>34555.084724089393</v>
          </cell>
        </row>
        <row r="142">
          <cell r="A142" t="str">
            <v>Bank Balance B/Fwd</v>
          </cell>
          <cell r="D142">
            <v>0</v>
          </cell>
          <cell r="E142">
            <v>-10.640016247317362</v>
          </cell>
          <cell r="F142">
            <v>9592.8762600662994</v>
          </cell>
          <cell r="G142">
            <v>25086.075447616284</v>
          </cell>
          <cell r="H142">
            <v>21850.832130417373</v>
          </cell>
          <cell r="I142">
            <v>39141.645423067195</v>
          </cell>
          <cell r="J142">
            <v>56094.929565307626</v>
          </cell>
          <cell r="K142">
            <v>41226.879803012824</v>
          </cell>
          <cell r="L142">
            <v>42105.609192531425</v>
          </cell>
          <cell r="M142">
            <v>43332.378222320665</v>
          </cell>
          <cell r="N142">
            <v>30824.349559634731</v>
          </cell>
          <cell r="O142">
            <v>27041.897539729893</v>
          </cell>
          <cell r="P142">
            <v>0</v>
          </cell>
          <cell r="Q142">
            <v>23256.293476475134</v>
          </cell>
          <cell r="R142">
            <v>69574.207599925387</v>
          </cell>
        </row>
        <row r="143">
          <cell r="A143" t="str">
            <v>Bank Balance C/Fwd</v>
          </cell>
          <cell r="D143">
            <v>-10.640016247317362</v>
          </cell>
          <cell r="E143">
            <v>9592.8762600662994</v>
          </cell>
          <cell r="F143">
            <v>25086.075447616284</v>
          </cell>
          <cell r="G143">
            <v>21850.832130417373</v>
          </cell>
          <cell r="H143">
            <v>39141.645423067195</v>
          </cell>
          <cell r="I143">
            <v>56094.929565307626</v>
          </cell>
          <cell r="J143">
            <v>41226.879803012824</v>
          </cell>
          <cell r="K143">
            <v>42105.609192531425</v>
          </cell>
          <cell r="L143">
            <v>43332.378222320665</v>
          </cell>
          <cell r="M143">
            <v>30824.349559634731</v>
          </cell>
          <cell r="N143">
            <v>27041.897539729893</v>
          </cell>
          <cell r="O143">
            <v>23256.293476475134</v>
          </cell>
          <cell r="P143">
            <v>23256.293476475126</v>
          </cell>
          <cell r="Q143">
            <v>69574.207599925547</v>
          </cell>
          <cell r="R143">
            <v>104129.29232401478</v>
          </cell>
        </row>
        <row r="146">
          <cell r="A146" t="str">
            <v>Urras Baile Fhlodaigearraidh</v>
          </cell>
        </row>
        <row r="147">
          <cell r="A147" t="str">
            <v>Projected Balance Sheet</v>
          </cell>
        </row>
        <row r="148">
          <cell r="A148" t="str">
            <v>For the 3 Year Period ending 31 March 2020</v>
          </cell>
        </row>
        <row r="149">
          <cell r="Q149" t="str">
            <v xml:space="preserve">Total </v>
          </cell>
          <cell r="R149" t="str">
            <v xml:space="preserve">Total </v>
          </cell>
        </row>
        <row r="150">
          <cell r="D150">
            <v>42855</v>
          </cell>
          <cell r="E150">
            <v>42886</v>
          </cell>
          <cell r="F150">
            <v>42916</v>
          </cell>
          <cell r="G150">
            <v>42947</v>
          </cell>
          <cell r="H150">
            <v>42978</v>
          </cell>
          <cell r="I150">
            <v>43008</v>
          </cell>
          <cell r="J150">
            <v>43039</v>
          </cell>
          <cell r="K150">
            <v>43069</v>
          </cell>
          <cell r="L150">
            <v>43100</v>
          </cell>
          <cell r="M150">
            <v>43131</v>
          </cell>
          <cell r="N150">
            <v>43159</v>
          </cell>
          <cell r="O150">
            <v>43190</v>
          </cell>
          <cell r="Q150">
            <v>43555</v>
          </cell>
          <cell r="R150">
            <v>43921</v>
          </cell>
        </row>
        <row r="152">
          <cell r="A152" t="str">
            <v>Fixed Assets at WDV</v>
          </cell>
        </row>
        <row r="153">
          <cell r="B153" t="str">
            <v>Ionad Fhlodaigearraidh</v>
          </cell>
          <cell r="D153">
            <v>2500000</v>
          </cell>
          <cell r="E153">
            <v>2500000</v>
          </cell>
          <cell r="F153">
            <v>2500000</v>
          </cell>
          <cell r="G153">
            <v>2500000</v>
          </cell>
          <cell r="H153">
            <v>2500000</v>
          </cell>
          <cell r="I153">
            <v>2500000</v>
          </cell>
          <cell r="J153">
            <v>2500000</v>
          </cell>
          <cell r="K153">
            <v>2500000</v>
          </cell>
          <cell r="L153">
            <v>2500000</v>
          </cell>
          <cell r="M153">
            <v>2500000</v>
          </cell>
          <cell r="N153">
            <v>2500000</v>
          </cell>
          <cell r="O153">
            <v>2500000</v>
          </cell>
          <cell r="P153">
            <v>2500000</v>
          </cell>
          <cell r="Q153">
            <v>2500000</v>
          </cell>
          <cell r="R153">
            <v>2500000</v>
          </cell>
        </row>
        <row r="154">
          <cell r="B154" t="str">
            <v>Cap Exp class 2</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B155" t="str">
            <v>Cap Exp class 3</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B156" t="str">
            <v>Cap Exp class 4</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row>
        <row r="157">
          <cell r="D157">
            <v>2500000</v>
          </cell>
          <cell r="E157">
            <v>2500000</v>
          </cell>
          <cell r="F157">
            <v>2500000</v>
          </cell>
          <cell r="G157">
            <v>2500000</v>
          </cell>
          <cell r="H157">
            <v>2500000</v>
          </cell>
          <cell r="I157">
            <v>2500000</v>
          </cell>
          <cell r="J157">
            <v>2500000</v>
          </cell>
          <cell r="K157">
            <v>2500000</v>
          </cell>
          <cell r="L157">
            <v>2500000</v>
          </cell>
          <cell r="M157">
            <v>2500000</v>
          </cell>
          <cell r="N157">
            <v>2500000</v>
          </cell>
          <cell r="O157">
            <v>2500000</v>
          </cell>
          <cell r="P157">
            <v>2500000</v>
          </cell>
          <cell r="Q157">
            <v>2500000</v>
          </cell>
          <cell r="R157">
            <v>2500000</v>
          </cell>
        </row>
        <row r="159">
          <cell r="A159" t="str">
            <v>Current Assets</v>
          </cell>
        </row>
        <row r="160">
          <cell r="B160" t="str">
            <v>Stocks</v>
          </cell>
          <cell r="D160">
            <v>5000</v>
          </cell>
          <cell r="E160">
            <v>5000</v>
          </cell>
          <cell r="F160">
            <v>5000</v>
          </cell>
          <cell r="G160">
            <v>5000</v>
          </cell>
          <cell r="H160">
            <v>5000</v>
          </cell>
          <cell r="I160">
            <v>5000</v>
          </cell>
          <cell r="J160">
            <v>5000</v>
          </cell>
          <cell r="K160">
            <v>5000</v>
          </cell>
          <cell r="L160">
            <v>5000</v>
          </cell>
          <cell r="M160">
            <v>5000</v>
          </cell>
          <cell r="N160">
            <v>5000</v>
          </cell>
          <cell r="O160">
            <v>5000</v>
          </cell>
          <cell r="P160">
            <v>5000</v>
          </cell>
          <cell r="Q160">
            <v>5000</v>
          </cell>
          <cell r="R160">
            <v>5000</v>
          </cell>
        </row>
        <row r="161">
          <cell r="B161" t="str">
            <v>Debtors</v>
          </cell>
          <cell r="D161">
            <v>16425</v>
          </cell>
          <cell r="E161">
            <v>27850.5</v>
          </cell>
          <cell r="F161">
            <v>29064</v>
          </cell>
          <cell r="G161">
            <v>30500.5</v>
          </cell>
          <cell r="H161">
            <v>31317</v>
          </cell>
          <cell r="I161">
            <v>29684</v>
          </cell>
          <cell r="J161">
            <v>20565.5</v>
          </cell>
          <cell r="K161">
            <v>7615.5000000000009</v>
          </cell>
          <cell r="L161">
            <v>1929.6000000000001</v>
          </cell>
          <cell r="M161">
            <v>1286.4000000000001</v>
          </cell>
          <cell r="N161">
            <v>1286.4000000000001</v>
          </cell>
          <cell r="O161">
            <v>1286.4000000000001</v>
          </cell>
          <cell r="P161">
            <v>1286.4000000000001</v>
          </cell>
          <cell r="Q161">
            <v>1479.3600000000001</v>
          </cell>
          <cell r="R161">
            <v>1701.2640000000001</v>
          </cell>
        </row>
        <row r="162">
          <cell r="B162" t="str">
            <v>VAT Receivable</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row>
        <row r="163">
          <cell r="B163" t="str">
            <v>Bank Account</v>
          </cell>
          <cell r="D163">
            <v>0</v>
          </cell>
          <cell r="E163">
            <v>9592.8762600662994</v>
          </cell>
          <cell r="F163">
            <v>25086.075447616284</v>
          </cell>
          <cell r="G163">
            <v>21850.832130417373</v>
          </cell>
          <cell r="H163">
            <v>39141.645423067195</v>
          </cell>
          <cell r="I163">
            <v>56094.929565307626</v>
          </cell>
          <cell r="J163">
            <v>41226.879803012824</v>
          </cell>
          <cell r="K163">
            <v>42105.609192531425</v>
          </cell>
          <cell r="L163">
            <v>43332.378222320665</v>
          </cell>
          <cell r="M163">
            <v>30824.349559634731</v>
          </cell>
          <cell r="N163">
            <v>27041.897539729893</v>
          </cell>
          <cell r="O163">
            <v>23256.293476475134</v>
          </cell>
          <cell r="P163">
            <v>23256.293476475134</v>
          </cell>
          <cell r="Q163">
            <v>69574.207599925387</v>
          </cell>
          <cell r="R163">
            <v>104129.29232401472</v>
          </cell>
        </row>
        <row r="164">
          <cell r="D164">
            <v>21425</v>
          </cell>
          <cell r="E164">
            <v>42443.376260066303</v>
          </cell>
          <cell r="F164">
            <v>59150.075447616284</v>
          </cell>
          <cell r="G164">
            <v>57351.332130417373</v>
          </cell>
          <cell r="H164">
            <v>75458.645423067195</v>
          </cell>
          <cell r="I164">
            <v>90778.929565307626</v>
          </cell>
          <cell r="J164">
            <v>66792.379803012824</v>
          </cell>
          <cell r="K164">
            <v>54721.109192531425</v>
          </cell>
          <cell r="L164">
            <v>50261.978222320664</v>
          </cell>
          <cell r="M164">
            <v>37110.749559634729</v>
          </cell>
          <cell r="N164">
            <v>33328.297539729894</v>
          </cell>
          <cell r="O164">
            <v>29542.693476475135</v>
          </cell>
          <cell r="P164">
            <v>29542.693476475135</v>
          </cell>
          <cell r="Q164">
            <v>76053.567599925387</v>
          </cell>
          <cell r="R164">
            <v>110830.55632401472</v>
          </cell>
        </row>
        <row r="166">
          <cell r="A166" t="str">
            <v>Current Liabilities</v>
          </cell>
        </row>
        <row r="167">
          <cell r="B167" t="str">
            <v>Creditors</v>
          </cell>
          <cell r="D167">
            <v>16897.226731655977</v>
          </cell>
          <cell r="E167">
            <v>20553.410901021711</v>
          </cell>
          <cell r="F167">
            <v>20106.202566580152</v>
          </cell>
          <cell r="G167">
            <v>21964.44992063376</v>
          </cell>
          <cell r="H167">
            <v>21964.44992063376</v>
          </cell>
          <cell r="I167">
            <v>20106.202566580152</v>
          </cell>
          <cell r="J167">
            <v>18148.371881409665</v>
          </cell>
          <cell r="K167">
            <v>8135.6845156302952</v>
          </cell>
          <cell r="L167">
            <v>7449.6045156302953</v>
          </cell>
          <cell r="M167">
            <v>7449.6045156302953</v>
          </cell>
          <cell r="N167">
            <v>7449.6045156302953</v>
          </cell>
          <cell r="O167">
            <v>7449.6045156302953</v>
          </cell>
          <cell r="P167">
            <v>7449.6045156302953</v>
          </cell>
          <cell r="Q167">
            <v>7745.8850510992042</v>
          </cell>
          <cell r="R167">
            <v>8061.0775626321793</v>
          </cell>
        </row>
        <row r="168">
          <cell r="B168" t="str">
            <v>Loans Payable</v>
          </cell>
          <cell r="P168">
            <v>0</v>
          </cell>
        </row>
        <row r="169">
          <cell r="C169" t="str">
            <v>Loan 1: Loan 1</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row>
        <row r="170">
          <cell r="C170" t="str">
            <v>Loan 2: Loan 2</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row>
        <row r="171">
          <cell r="C171" t="str">
            <v>Loan 3: Loan 3</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row>
        <row r="172">
          <cell r="C172" t="str">
            <v>Loan 4: Loan 4</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row>
        <row r="173">
          <cell r="B173" t="str">
            <v>VAT</v>
          </cell>
          <cell r="D173">
            <v>5652.0000000000009</v>
          </cell>
          <cell r="E173">
            <v>13775.000000000002</v>
          </cell>
          <cell r="F173">
            <v>21767.000000000004</v>
          </cell>
          <cell r="G173">
            <v>8536.3333333333321</v>
          </cell>
          <cell r="H173">
            <v>17072.666666666664</v>
          </cell>
          <cell r="I173">
            <v>25064.666666666664</v>
          </cell>
          <cell r="J173">
            <v>5224.6666666666679</v>
          </cell>
          <cell r="K173">
            <v>7516.3333333333339</v>
          </cell>
          <cell r="L173">
            <v>9379.2000000000007</v>
          </cell>
          <cell r="M173">
            <v>1862.8666666666668</v>
          </cell>
          <cell r="N173">
            <v>3725.7333333333336</v>
          </cell>
          <cell r="O173">
            <v>5588.6</v>
          </cell>
          <cell r="P173">
            <v>5588.6</v>
          </cell>
          <cell r="Q173">
            <v>6130.7400000000007</v>
          </cell>
          <cell r="R173">
            <v>4937.1379999999999</v>
          </cell>
        </row>
        <row r="174">
          <cell r="B174" t="str">
            <v>Bank Overdraft</v>
          </cell>
          <cell r="D174">
            <v>10.640016247317362</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B175" t="str">
            <v>Deferred Grants</v>
          </cell>
          <cell r="D175">
            <v>2500000</v>
          </cell>
          <cell r="E175">
            <v>2500000</v>
          </cell>
          <cell r="F175">
            <v>2500000</v>
          </cell>
          <cell r="G175">
            <v>2500000</v>
          </cell>
          <cell r="H175">
            <v>2500000</v>
          </cell>
          <cell r="I175">
            <v>2500000</v>
          </cell>
          <cell r="J175">
            <v>2500000</v>
          </cell>
          <cell r="K175">
            <v>2500000</v>
          </cell>
          <cell r="L175">
            <v>2500000</v>
          </cell>
          <cell r="M175">
            <v>2500000</v>
          </cell>
          <cell r="N175">
            <v>2500000</v>
          </cell>
          <cell r="O175">
            <v>2500000</v>
          </cell>
          <cell r="P175">
            <v>2500000</v>
          </cell>
          <cell r="Q175">
            <v>2500000</v>
          </cell>
          <cell r="R175">
            <v>2500000</v>
          </cell>
        </row>
        <row r="176">
          <cell r="B176" t="str">
            <v>Corporation Tax payable</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row>
        <row r="177">
          <cell r="D177">
            <v>2522559.8667479032</v>
          </cell>
          <cell r="E177">
            <v>2534328.4109010217</v>
          </cell>
          <cell r="F177">
            <v>2541873.2025665804</v>
          </cell>
          <cell r="G177">
            <v>2530500.7832539673</v>
          </cell>
          <cell r="H177">
            <v>2539037.1165873003</v>
          </cell>
          <cell r="I177">
            <v>2545170.8692332469</v>
          </cell>
          <cell r="J177">
            <v>2523373.0385480765</v>
          </cell>
          <cell r="K177">
            <v>2515652.0178489638</v>
          </cell>
          <cell r="L177">
            <v>2516828.8045156305</v>
          </cell>
          <cell r="M177">
            <v>2509312.471182297</v>
          </cell>
          <cell r="N177">
            <v>2511175.3378489637</v>
          </cell>
          <cell r="O177">
            <v>2513038.2045156304</v>
          </cell>
          <cell r="P177">
            <v>2513038.2045156304</v>
          </cell>
          <cell r="Q177">
            <v>2513876.6250510993</v>
          </cell>
          <cell r="R177">
            <v>2512998.2155626323</v>
          </cell>
        </row>
        <row r="178">
          <cell r="D178">
            <v>-1134.8667479031719</v>
          </cell>
          <cell r="E178">
            <v>8114.9653590447269</v>
          </cell>
          <cell r="F178">
            <v>17276.872881035786</v>
          </cell>
          <cell r="G178">
            <v>26850.548876449931</v>
          </cell>
          <cell r="H178">
            <v>36421.528835766949</v>
          </cell>
          <cell r="I178">
            <v>45608.060332060792</v>
          </cell>
          <cell r="J178">
            <v>43419.341254936531</v>
          </cell>
          <cell r="K178">
            <v>39069.091343567707</v>
          </cell>
          <cell r="L178">
            <v>33433.173706690315</v>
          </cell>
          <cell r="M178">
            <v>27798.278377337847</v>
          </cell>
          <cell r="N178">
            <v>22152.959690766409</v>
          </cell>
          <cell r="O178">
            <v>16504.48896084493</v>
          </cell>
          <cell r="P178">
            <v>16504.48896084493</v>
          </cell>
          <cell r="Q178">
            <v>62176.942548825871</v>
          </cell>
          <cell r="R178">
            <v>97832.340761382598</v>
          </cell>
        </row>
        <row r="180">
          <cell r="A180" t="str">
            <v>Financed by Capital Account</v>
          </cell>
        </row>
        <row r="182">
          <cell r="B182" t="str">
            <v>Share Capital</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B184" t="str">
            <v>Other Reserves</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B186" t="str">
            <v>Profit &amp; Loss Account:</v>
          </cell>
        </row>
        <row r="187">
          <cell r="C187" t="str">
            <v>Brought Forward</v>
          </cell>
          <cell r="D187">
            <v>0</v>
          </cell>
          <cell r="E187">
            <v>-1134.8667479032956</v>
          </cell>
          <cell r="F187">
            <v>8114.9653590445887</v>
          </cell>
          <cell r="G187">
            <v>17276.872881036128</v>
          </cell>
          <cell r="H187">
            <v>26850.548876450281</v>
          </cell>
          <cell r="I187">
            <v>36421.528835766767</v>
          </cell>
          <cell r="J187">
            <v>45608.060332060806</v>
          </cell>
          <cell r="K187">
            <v>43419.341254936488</v>
          </cell>
          <cell r="L187">
            <v>39069.091343567794</v>
          </cell>
          <cell r="M187">
            <v>33433.173706690366</v>
          </cell>
          <cell r="N187">
            <v>27798.278377337767</v>
          </cell>
          <cell r="O187">
            <v>22152.95969076626</v>
          </cell>
          <cell r="P187">
            <v>22152.95969076626</v>
          </cell>
          <cell r="Q187">
            <v>16504.488960844832</v>
          </cell>
          <cell r="R187">
            <v>62176.942548826199</v>
          </cell>
        </row>
        <row r="188">
          <cell r="C188" t="str">
            <v>Profit/(loss) for period</v>
          </cell>
          <cell r="D188">
            <v>-1134.8667479032956</v>
          </cell>
          <cell r="E188">
            <v>9249.8321069478843</v>
          </cell>
          <cell r="F188">
            <v>9161.9075219915394</v>
          </cell>
          <cell r="G188">
            <v>9573.6759954141526</v>
          </cell>
          <cell r="H188">
            <v>9570.9799593164862</v>
          </cell>
          <cell r="I188">
            <v>9186.5314962940392</v>
          </cell>
          <cell r="J188">
            <v>-2188.7190771243204</v>
          </cell>
          <cell r="K188">
            <v>-4350.2499113686918</v>
          </cell>
          <cell r="L188">
            <v>-5635.917636877426</v>
          </cell>
          <cell r="M188">
            <v>-5634.895329352601</v>
          </cell>
          <cell r="N188">
            <v>-5645.318686571507</v>
          </cell>
          <cell r="O188">
            <v>-5648.4707299214269</v>
          </cell>
          <cell r="P188">
            <v>-5648.4707299214269</v>
          </cell>
          <cell r="Q188">
            <v>45672.453587981356</v>
          </cell>
          <cell r="R188">
            <v>35655.398212556363</v>
          </cell>
        </row>
        <row r="189">
          <cell r="D189">
            <v>-1134.8667479032956</v>
          </cell>
          <cell r="E189">
            <v>8114.9653590445887</v>
          </cell>
          <cell r="F189">
            <v>17276.872881036128</v>
          </cell>
          <cell r="G189">
            <v>26850.548876450281</v>
          </cell>
          <cell r="H189">
            <v>36421.528835766767</v>
          </cell>
          <cell r="I189">
            <v>45608.060332060806</v>
          </cell>
          <cell r="J189">
            <v>43419.341254936488</v>
          </cell>
          <cell r="K189">
            <v>39069.091343567794</v>
          </cell>
          <cell r="L189">
            <v>33433.173706690366</v>
          </cell>
          <cell r="M189">
            <v>27798.278377337767</v>
          </cell>
          <cell r="N189">
            <v>22152.95969076626</v>
          </cell>
          <cell r="O189">
            <v>16504.488960844832</v>
          </cell>
          <cell r="P189">
            <v>16504.488960844832</v>
          </cell>
          <cell r="Q189">
            <v>62176.942548826191</v>
          </cell>
          <cell r="R189">
            <v>97832.340761382569</v>
          </cell>
        </row>
        <row r="191">
          <cell r="D191">
            <v>-1134.8667479032956</v>
          </cell>
          <cell r="E191">
            <v>8114.9653590445887</v>
          </cell>
          <cell r="F191">
            <v>17276.872881036128</v>
          </cell>
          <cell r="G191">
            <v>26850.548876450281</v>
          </cell>
          <cell r="H191">
            <v>36421.528835766767</v>
          </cell>
          <cell r="I191">
            <v>45608.060332060806</v>
          </cell>
          <cell r="J191">
            <v>43419.341254936488</v>
          </cell>
          <cell r="K191">
            <v>39069.091343567794</v>
          </cell>
          <cell r="L191">
            <v>33433.173706690366</v>
          </cell>
          <cell r="M191">
            <v>27798.278377337767</v>
          </cell>
          <cell r="N191">
            <v>22152.95969076626</v>
          </cell>
          <cell r="O191">
            <v>16504.488960844832</v>
          </cell>
          <cell r="P191">
            <v>16504.488960844832</v>
          </cell>
          <cell r="Q191">
            <v>62176.942548826191</v>
          </cell>
          <cell r="R191">
            <v>97832.340761382569</v>
          </cell>
        </row>
        <row r="193">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row>
        <row r="194">
          <cell r="E194"/>
          <cell r="F194"/>
          <cell r="G194"/>
          <cell r="H194"/>
          <cell r="I194"/>
          <cell r="J194"/>
          <cell r="K194"/>
          <cell r="L194"/>
          <cell r="M194"/>
          <cell r="N194"/>
          <cell r="O194"/>
          <cell r="Q194" t="str">
            <v xml:space="preserve"> </v>
          </cell>
          <cell r="R194" t="str">
            <v xml:space="preserve"> </v>
          </cell>
        </row>
      </sheetData>
      <sheetData sheetId="13">
        <row r="1">
          <cell r="C1" t="str">
            <v>Urras Baile Fhlodaigearraidh</v>
          </cell>
        </row>
      </sheetData>
      <sheetData sheetId="14">
        <row r="1">
          <cell r="B1" t="str">
            <v>URRAS BAILE FHLODAIGEARRAIDH</v>
          </cell>
        </row>
        <row r="74">
          <cell r="B74" t="str">
            <v>DEFERRED GRANTS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AB645-6D50-47CE-B096-076CD7F82668}">
  <sheetPr>
    <pageSetUpPr fitToPage="1"/>
  </sheetPr>
  <dimension ref="A1:S76"/>
  <sheetViews>
    <sheetView tabSelected="1" zoomScaleNormal="100" workbookViewId="0">
      <selection activeCell="B1" sqref="B1"/>
    </sheetView>
  </sheetViews>
  <sheetFormatPr defaultRowHeight="15" x14ac:dyDescent="0.25"/>
  <cols>
    <col min="1" max="1" width="2.85546875" style="4" customWidth="1"/>
    <col min="2" max="2" width="34.140625" style="4" customWidth="1"/>
    <col min="3" max="3" width="9.28515625" style="4" customWidth="1"/>
    <col min="4" max="4" width="11.140625" style="4" customWidth="1"/>
    <col min="5" max="5" width="8.28515625" style="4" customWidth="1"/>
    <col min="6" max="6" width="10.42578125" style="4" customWidth="1"/>
    <col min="7" max="7" width="3.85546875" style="4" customWidth="1"/>
    <col min="8" max="8" width="10.5703125" style="4" bestFit="1" customWidth="1"/>
    <col min="9" max="9" width="9.85546875" style="4" customWidth="1"/>
    <col min="10" max="10" width="10.42578125" style="4" customWidth="1"/>
    <col min="11" max="16384" width="9.140625" style="4"/>
  </cols>
  <sheetData>
    <row r="1" spans="2:10" x14ac:dyDescent="0.25">
      <c r="B1" s="5" t="s">
        <v>47</v>
      </c>
      <c r="C1" s="5"/>
      <c r="D1" s="5"/>
      <c r="E1" s="5"/>
      <c r="I1" s="33"/>
      <c r="J1" s="33"/>
    </row>
    <row r="2" spans="2:10" x14ac:dyDescent="0.25">
      <c r="B2" s="5" t="s">
        <v>62</v>
      </c>
      <c r="I2" s="33"/>
      <c r="J2" s="33"/>
    </row>
    <row r="3" spans="2:10" x14ac:dyDescent="0.25">
      <c r="I3" s="33"/>
      <c r="J3" s="33"/>
    </row>
    <row r="4" spans="2:10" x14ac:dyDescent="0.25">
      <c r="I4" s="33"/>
      <c r="J4" s="33"/>
    </row>
    <row r="5" spans="2:10" x14ac:dyDescent="0.25">
      <c r="B5" s="7" t="s">
        <v>30</v>
      </c>
      <c r="C5" s="8"/>
      <c r="D5" s="8"/>
      <c r="E5" s="8"/>
      <c r="F5" s="8"/>
      <c r="G5" s="8"/>
      <c r="H5" s="8"/>
      <c r="I5" s="80"/>
      <c r="J5" s="80"/>
    </row>
    <row r="6" spans="2:10" x14ac:dyDescent="0.25">
      <c r="B6" s="8" t="s">
        <v>2</v>
      </c>
      <c r="C6" s="8"/>
      <c r="D6" s="8"/>
      <c r="E6" s="8"/>
      <c r="F6" s="8"/>
      <c r="G6" s="9"/>
      <c r="H6" s="9">
        <v>407200</v>
      </c>
      <c r="I6" s="34"/>
      <c r="J6" s="35"/>
    </row>
    <row r="7" spans="2:10" x14ac:dyDescent="0.25">
      <c r="B7" s="8" t="s">
        <v>88</v>
      </c>
      <c r="C7" s="8"/>
      <c r="D7" s="8"/>
      <c r="E7" s="8"/>
      <c r="F7" s="8"/>
      <c r="G7" s="9"/>
      <c r="H7" s="9">
        <v>50000</v>
      </c>
      <c r="I7" s="34"/>
      <c r="J7" s="35"/>
    </row>
    <row r="8" spans="2:10" x14ac:dyDescent="0.25">
      <c r="B8" s="8" t="s">
        <v>89</v>
      </c>
      <c r="C8" s="8"/>
      <c r="D8" s="8"/>
      <c r="E8" s="8"/>
      <c r="F8" s="8"/>
      <c r="G8" s="9"/>
      <c r="H8" s="9">
        <v>14000</v>
      </c>
      <c r="I8" s="34"/>
      <c r="J8" s="35"/>
    </row>
    <row r="9" spans="2:10" x14ac:dyDescent="0.25">
      <c r="B9" s="8" t="s">
        <v>90</v>
      </c>
      <c r="C9" s="8"/>
      <c r="D9" s="8"/>
      <c r="E9" s="8"/>
      <c r="F9" s="8"/>
      <c r="G9" s="9"/>
      <c r="H9" s="9">
        <v>28500</v>
      </c>
      <c r="I9" s="34"/>
      <c r="J9" s="35"/>
    </row>
    <row r="10" spans="2:10" x14ac:dyDescent="0.25">
      <c r="B10" s="8" t="s">
        <v>98</v>
      </c>
      <c r="C10" s="8"/>
      <c r="D10" s="8"/>
      <c r="E10" s="8"/>
      <c r="F10" s="8"/>
      <c r="G10" s="9"/>
      <c r="H10" s="9">
        <v>3000</v>
      </c>
      <c r="I10" s="34"/>
      <c r="J10" s="35"/>
    </row>
    <row r="11" spans="2:10" x14ac:dyDescent="0.25">
      <c r="B11" s="8" t="s">
        <v>91</v>
      </c>
      <c r="C11" s="8"/>
      <c r="D11" s="8"/>
      <c r="E11" s="8"/>
      <c r="F11" s="8"/>
      <c r="G11" s="9"/>
      <c r="H11" s="76">
        <f>SUM(H6:H10)*0.1</f>
        <v>50270</v>
      </c>
      <c r="I11" s="34"/>
      <c r="J11" s="35"/>
    </row>
    <row r="12" spans="2:10" x14ac:dyDescent="0.25">
      <c r="B12" s="8"/>
      <c r="C12" s="8"/>
      <c r="D12" s="8"/>
      <c r="E12" s="8"/>
      <c r="F12" s="8"/>
      <c r="G12" s="9"/>
      <c r="H12" s="9">
        <f>SUM(H6:H11)</f>
        <v>552970</v>
      </c>
      <c r="I12" s="34"/>
      <c r="J12" s="35"/>
    </row>
    <row r="13" spans="2:10" x14ac:dyDescent="0.25">
      <c r="B13" s="8" t="s">
        <v>48</v>
      </c>
      <c r="C13" s="8"/>
      <c r="D13" s="8"/>
      <c r="E13" s="8"/>
      <c r="F13" s="8"/>
      <c r="G13" s="9"/>
      <c r="H13" s="9">
        <f>SUM(H6:H11)*0.2</f>
        <v>110594</v>
      </c>
      <c r="I13" s="34"/>
      <c r="J13" s="35"/>
    </row>
    <row r="14" spans="2:10" x14ac:dyDescent="0.25">
      <c r="B14" s="7" t="s">
        <v>14</v>
      </c>
      <c r="C14" s="7"/>
      <c r="D14" s="7"/>
      <c r="E14" s="7"/>
      <c r="F14" s="7"/>
      <c r="G14" s="11"/>
      <c r="H14" s="10">
        <f>SUM(H12:H13)</f>
        <v>663564</v>
      </c>
      <c r="I14" s="33"/>
      <c r="J14" s="33"/>
    </row>
    <row r="15" spans="2:10" s="50" customFormat="1" x14ac:dyDescent="0.25">
      <c r="B15" s="49"/>
      <c r="C15" s="49"/>
      <c r="D15" s="49"/>
      <c r="E15" s="49"/>
      <c r="F15" s="49"/>
      <c r="G15" s="56"/>
      <c r="H15" s="77"/>
      <c r="I15" s="78"/>
      <c r="J15" s="78"/>
    </row>
    <row r="16" spans="2:10" x14ac:dyDescent="0.25">
      <c r="G16" s="2"/>
      <c r="H16" s="2"/>
      <c r="I16" s="33"/>
      <c r="J16" s="33"/>
    </row>
    <row r="17" spans="2:12" x14ac:dyDescent="0.25">
      <c r="B17" s="49" t="s">
        <v>31</v>
      </c>
      <c r="C17" s="50"/>
      <c r="D17" s="50"/>
      <c r="E17" s="50"/>
      <c r="F17" s="50"/>
      <c r="G17" s="49"/>
      <c r="H17" s="63" t="s">
        <v>73</v>
      </c>
      <c r="I17" s="63" t="s">
        <v>74</v>
      </c>
      <c r="J17" s="63" t="s">
        <v>75</v>
      </c>
      <c r="K17" s="63" t="s">
        <v>76</v>
      </c>
      <c r="L17" s="63" t="s">
        <v>77</v>
      </c>
    </row>
    <row r="18" spans="2:12" x14ac:dyDescent="0.25">
      <c r="B18" s="55"/>
      <c r="C18" s="51" t="s">
        <v>12</v>
      </c>
      <c r="D18" s="52" t="s">
        <v>29</v>
      </c>
      <c r="E18" s="50" t="s">
        <v>8</v>
      </c>
      <c r="F18" s="50"/>
      <c r="G18" s="53"/>
      <c r="H18" s="54" t="s">
        <v>55</v>
      </c>
      <c r="I18" s="54" t="s">
        <v>55</v>
      </c>
      <c r="J18" s="54" t="s">
        <v>55</v>
      </c>
      <c r="K18" s="54" t="s">
        <v>55</v>
      </c>
      <c r="L18" s="54" t="s">
        <v>55</v>
      </c>
    </row>
    <row r="19" spans="2:12" x14ac:dyDescent="0.25">
      <c r="B19" s="74" t="s">
        <v>84</v>
      </c>
      <c r="C19" s="51"/>
      <c r="D19" s="52"/>
      <c r="E19" s="50"/>
      <c r="F19" s="50"/>
      <c r="G19" s="53"/>
      <c r="H19" s="54"/>
      <c r="I19" s="64">
        <v>0.03</v>
      </c>
      <c r="J19" s="64">
        <f>I19</f>
        <v>0.03</v>
      </c>
      <c r="K19" s="64">
        <f>J19</f>
        <v>0.03</v>
      </c>
      <c r="L19" s="64">
        <v>0.03</v>
      </c>
    </row>
    <row r="20" spans="2:12" x14ac:dyDescent="0.25">
      <c r="B20" s="55" t="s">
        <v>85</v>
      </c>
      <c r="C20" s="51"/>
      <c r="D20" s="52"/>
      <c r="E20" s="50"/>
      <c r="F20" s="50"/>
      <c r="G20" s="53"/>
      <c r="H20" s="66">
        <v>52500</v>
      </c>
      <c r="I20" s="66"/>
      <c r="J20" s="66"/>
      <c r="K20" s="66"/>
      <c r="L20" s="66"/>
    </row>
    <row r="21" spans="2:12" x14ac:dyDescent="0.25">
      <c r="B21" s="55"/>
      <c r="C21" s="51"/>
      <c r="D21" s="52"/>
      <c r="E21" s="50"/>
      <c r="F21" s="50"/>
      <c r="G21" s="53"/>
      <c r="H21" s="66"/>
      <c r="I21" s="66"/>
      <c r="J21" s="66"/>
      <c r="K21" s="66"/>
      <c r="L21" s="66"/>
    </row>
    <row r="22" spans="2:12" x14ac:dyDescent="0.25">
      <c r="B22" s="50" t="s">
        <v>56</v>
      </c>
      <c r="C22" s="50">
        <v>6</v>
      </c>
      <c r="D22" s="55">
        <v>0.4</v>
      </c>
      <c r="E22" s="50">
        <v>35</v>
      </c>
      <c r="F22" s="50" t="s">
        <v>11</v>
      </c>
      <c r="G22" s="53"/>
      <c r="H22" s="53">
        <f>($C$22*$E$22*($D$22-10%)*4*28)/6*5</f>
        <v>5880.0000000000009</v>
      </c>
      <c r="I22" s="53">
        <f>($C$22*$E$22*($D$22-5%)*4*28)/6*5*(1+I19)</f>
        <v>7065.8</v>
      </c>
      <c r="J22" s="53">
        <f>($C$22*$E$22*($D$22)*4*28)/6*5*(1+J19+J19)</f>
        <v>8310.4</v>
      </c>
      <c r="K22" s="53">
        <f>($C$22*$E$22*($D$22)*4*28)/6*5*(1+K19+K19+K19)</f>
        <v>8545.6</v>
      </c>
      <c r="L22" s="53">
        <f>($C$22*$E$22*($D$22)*4*28)/6*5*(1+L19+L19+L19+L19)</f>
        <v>8780.8000000000011</v>
      </c>
    </row>
    <row r="23" spans="2:12" x14ac:dyDescent="0.25">
      <c r="B23" s="50" t="s">
        <v>57</v>
      </c>
      <c r="C23" s="50">
        <v>6</v>
      </c>
      <c r="D23" s="55">
        <v>0.4</v>
      </c>
      <c r="E23" s="50">
        <v>25</v>
      </c>
      <c r="F23" s="50" t="s">
        <v>11</v>
      </c>
      <c r="G23" s="53"/>
      <c r="H23" s="53">
        <f>($C$23*$E$23*($D$23-10%)*4*28)/6*5</f>
        <v>4200.0000000000009</v>
      </c>
      <c r="I23" s="53">
        <f>($C$23*$E$23*($D$23-5%)*4*28)/6*5*(1+I19)</f>
        <v>5047.0000000000009</v>
      </c>
      <c r="J23" s="53">
        <f>($C$23*$E$23*($D$23)*4*28)/6*5*(1+J19+J19)</f>
        <v>5936</v>
      </c>
      <c r="K23" s="53">
        <f>($C$23*$E$23*($D$23)*4*28)/6*5*(1+K19+K19+K19)</f>
        <v>6104</v>
      </c>
      <c r="L23" s="53">
        <f>($C$23*$E$23*($D$23)*4*28)/6*5*(1+L19+L19+L19+L19)</f>
        <v>6272.0000000000009</v>
      </c>
    </row>
    <row r="24" spans="2:12" x14ac:dyDescent="0.25">
      <c r="B24" s="50" t="s">
        <v>28</v>
      </c>
      <c r="C24" s="50">
        <v>6</v>
      </c>
      <c r="D24" s="55">
        <v>0.5</v>
      </c>
      <c r="E24" s="50">
        <v>500</v>
      </c>
      <c r="F24" s="50" t="s">
        <v>9</v>
      </c>
      <c r="G24" s="53"/>
      <c r="H24" s="53">
        <f>(C24*E24*D24)/6*5</f>
        <v>1250</v>
      </c>
      <c r="I24" s="53">
        <f t="shared" ref="I24:I29" si="0">H24*(1+$I$19)</f>
        <v>1287.5</v>
      </c>
      <c r="J24" s="53">
        <f t="shared" ref="J24:J29" si="1">I24*(1+$J$19)</f>
        <v>1326.125</v>
      </c>
      <c r="K24" s="53">
        <f t="shared" ref="K24:K29" si="2">J24*(1+$K$19)</f>
        <v>1365.9087500000001</v>
      </c>
      <c r="L24" s="53">
        <f t="shared" ref="L24:L29" si="3">K24*(1+$L$19)</f>
        <v>1406.8860125000001</v>
      </c>
    </row>
    <row r="25" spans="2:12" x14ac:dyDescent="0.25">
      <c r="B25" s="50" t="s">
        <v>60</v>
      </c>
      <c r="C25" s="50">
        <v>12</v>
      </c>
      <c r="D25" s="55"/>
      <c r="E25" s="50">
        <v>5</v>
      </c>
      <c r="F25" s="50" t="s">
        <v>61</v>
      </c>
      <c r="G25" s="53"/>
      <c r="H25" s="53">
        <f>C25*E25*4*26/6*5</f>
        <v>5200</v>
      </c>
      <c r="I25" s="53">
        <f t="shared" si="0"/>
        <v>5356</v>
      </c>
      <c r="J25" s="53">
        <f t="shared" si="1"/>
        <v>5516.68</v>
      </c>
      <c r="K25" s="53">
        <f t="shared" si="2"/>
        <v>5682.1804000000002</v>
      </c>
      <c r="L25" s="53">
        <f t="shared" si="3"/>
        <v>5852.6458120000007</v>
      </c>
    </row>
    <row r="26" spans="2:12" x14ac:dyDescent="0.25">
      <c r="B26" s="50" t="s">
        <v>4</v>
      </c>
      <c r="C26" s="50">
        <v>4</v>
      </c>
      <c r="D26" s="55">
        <v>0.75</v>
      </c>
      <c r="E26" s="50">
        <v>20</v>
      </c>
      <c r="F26" s="50" t="s">
        <v>11</v>
      </c>
      <c r="G26" s="53"/>
      <c r="H26" s="53">
        <f>(C26*E26*4.5*28*D26)/6*5</f>
        <v>6300</v>
      </c>
      <c r="I26" s="53">
        <f t="shared" si="0"/>
        <v>6489</v>
      </c>
      <c r="J26" s="53">
        <f t="shared" si="1"/>
        <v>6683.67</v>
      </c>
      <c r="K26" s="53">
        <f t="shared" si="2"/>
        <v>6884.1801000000005</v>
      </c>
      <c r="L26" s="53">
        <f t="shared" si="3"/>
        <v>7090.705503000001</v>
      </c>
    </row>
    <row r="27" spans="2:12" x14ac:dyDescent="0.25">
      <c r="B27" s="50" t="s">
        <v>78</v>
      </c>
      <c r="C27" s="50">
        <v>10</v>
      </c>
      <c r="D27" s="50"/>
      <c r="E27" s="50">
        <v>5</v>
      </c>
      <c r="F27" s="50" t="s">
        <v>10</v>
      </c>
      <c r="G27" s="53"/>
      <c r="H27" s="53">
        <f>(C27*E27*4*28)/6*5</f>
        <v>4666.666666666667</v>
      </c>
      <c r="I27" s="53">
        <f t="shared" si="0"/>
        <v>4806.666666666667</v>
      </c>
      <c r="J27" s="53">
        <f t="shared" si="1"/>
        <v>4950.8666666666668</v>
      </c>
      <c r="K27" s="53">
        <f t="shared" si="2"/>
        <v>5099.3926666666666</v>
      </c>
      <c r="L27" s="53">
        <f t="shared" si="3"/>
        <v>5252.3744466666667</v>
      </c>
    </row>
    <row r="28" spans="2:12" x14ac:dyDescent="0.25">
      <c r="B28" s="50" t="s">
        <v>80</v>
      </c>
      <c r="C28" s="50">
        <v>20</v>
      </c>
      <c r="D28" s="55"/>
      <c r="E28" s="50">
        <v>1</v>
      </c>
      <c r="F28" s="50"/>
      <c r="G28" s="53"/>
      <c r="H28" s="53">
        <f t="shared" ref="H28" si="4">(C28*E28*4*28)/6*5</f>
        <v>1866.6666666666665</v>
      </c>
      <c r="I28" s="53">
        <f t="shared" si="0"/>
        <v>1922.6666666666665</v>
      </c>
      <c r="J28" s="53">
        <f t="shared" si="1"/>
        <v>1980.3466666666666</v>
      </c>
      <c r="K28" s="53">
        <f t="shared" si="2"/>
        <v>2039.7570666666666</v>
      </c>
      <c r="L28" s="53">
        <f t="shared" si="3"/>
        <v>2100.9497786666666</v>
      </c>
    </row>
    <row r="29" spans="2:12" x14ac:dyDescent="0.25">
      <c r="B29" s="50" t="s">
        <v>79</v>
      </c>
      <c r="C29" s="67">
        <f>H20*0.6</f>
        <v>31500</v>
      </c>
      <c r="D29" s="55"/>
      <c r="E29" s="50">
        <v>0.5</v>
      </c>
      <c r="F29" s="50"/>
      <c r="G29" s="53"/>
      <c r="H29" s="53">
        <f>C29*E29/6*5</f>
        <v>13125</v>
      </c>
      <c r="I29" s="53">
        <f t="shared" si="0"/>
        <v>13518.75</v>
      </c>
      <c r="J29" s="53">
        <f t="shared" si="1"/>
        <v>13924.3125</v>
      </c>
      <c r="K29" s="53">
        <f t="shared" si="2"/>
        <v>14342.041875000001</v>
      </c>
      <c r="L29" s="53">
        <f t="shared" si="3"/>
        <v>14772.303131250001</v>
      </c>
    </row>
    <row r="30" spans="2:12" x14ac:dyDescent="0.25">
      <c r="B30" s="50" t="s">
        <v>86</v>
      </c>
      <c r="C30" s="50"/>
      <c r="D30" s="50"/>
      <c r="E30" s="50"/>
      <c r="F30" s="50"/>
      <c r="G30" s="53"/>
      <c r="H30" s="53">
        <v>2400</v>
      </c>
      <c r="I30" s="53">
        <f>H30*(1+I19)</f>
        <v>2472</v>
      </c>
      <c r="J30" s="53">
        <f t="shared" ref="J30:L30" si="5">I30*(1+J19)</f>
        <v>2546.16</v>
      </c>
      <c r="K30" s="53">
        <f t="shared" si="5"/>
        <v>2622.5448000000001</v>
      </c>
      <c r="L30" s="53">
        <f t="shared" si="5"/>
        <v>2701.2211440000001</v>
      </c>
    </row>
    <row r="31" spans="2:12" x14ac:dyDescent="0.25">
      <c r="B31" s="49" t="s">
        <v>13</v>
      </c>
      <c r="C31" s="50"/>
      <c r="D31" s="50"/>
      <c r="E31" s="50"/>
      <c r="F31" s="50"/>
      <c r="G31" s="56"/>
      <c r="H31" s="57">
        <f>SUM(H22:H30)</f>
        <v>44888.333333333336</v>
      </c>
      <c r="I31" s="57">
        <f>SUM(I22:I30)</f>
        <v>47965.383333333339</v>
      </c>
      <c r="J31" s="57">
        <f>SUM(J22:J30)</f>
        <v>51174.560833333337</v>
      </c>
      <c r="K31" s="57">
        <f>SUM(K22:K30)</f>
        <v>52685.605658333341</v>
      </c>
      <c r="L31" s="57">
        <f>SUM(L22:L30)</f>
        <v>54229.885828083345</v>
      </c>
    </row>
    <row r="32" spans="2:12" x14ac:dyDescent="0.25">
      <c r="B32" s="50"/>
      <c r="C32" s="50"/>
      <c r="D32" s="50"/>
      <c r="E32" s="50"/>
      <c r="F32" s="50"/>
      <c r="G32" s="53"/>
      <c r="H32" s="53"/>
      <c r="I32" s="53"/>
      <c r="J32" s="53"/>
      <c r="K32" s="53"/>
      <c r="L32" s="53"/>
    </row>
    <row r="33" spans="2:12" x14ac:dyDescent="0.25">
      <c r="B33" s="49" t="s">
        <v>32</v>
      </c>
      <c r="C33" s="50"/>
      <c r="D33" s="50"/>
      <c r="E33" s="50"/>
      <c r="F33" s="50"/>
      <c r="G33" s="49"/>
      <c r="H33" s="63" t="s">
        <v>73</v>
      </c>
      <c r="I33" s="63" t="s">
        <v>74</v>
      </c>
      <c r="J33" s="63" t="s">
        <v>75</v>
      </c>
      <c r="K33" s="63" t="s">
        <v>76</v>
      </c>
      <c r="L33" s="63" t="s">
        <v>77</v>
      </c>
    </row>
    <row r="34" spans="2:12" x14ac:dyDescent="0.25">
      <c r="B34" s="50"/>
      <c r="C34" s="50"/>
      <c r="D34" s="50"/>
      <c r="E34" s="50"/>
      <c r="F34" s="50"/>
      <c r="G34" s="53"/>
      <c r="H34" s="53"/>
      <c r="I34" s="65">
        <v>0.03</v>
      </c>
      <c r="J34" s="65">
        <v>0.03</v>
      </c>
      <c r="K34" s="65">
        <v>0.03</v>
      </c>
      <c r="L34" s="65">
        <v>0.03</v>
      </c>
    </row>
    <row r="35" spans="2:12" x14ac:dyDescent="0.25">
      <c r="B35" s="50" t="s">
        <v>15</v>
      </c>
      <c r="C35" s="58"/>
      <c r="D35" s="58"/>
      <c r="E35" s="50"/>
      <c r="F35" s="50"/>
      <c r="G35" s="53"/>
      <c r="H35" s="59">
        <f>((5*6*26)+(3*26))*10*1.12</f>
        <v>9609.6</v>
      </c>
      <c r="I35" s="59">
        <f>H35*(1+$I$34)</f>
        <v>9897.8880000000008</v>
      </c>
      <c r="J35" s="59">
        <f t="shared" ref="J35:L35" si="6">I35*(1+$I$34)</f>
        <v>10194.824640000001</v>
      </c>
      <c r="K35" s="59">
        <f t="shared" si="6"/>
        <v>10500.669379200001</v>
      </c>
      <c r="L35" s="59">
        <f t="shared" si="6"/>
        <v>10815.689460576001</v>
      </c>
    </row>
    <row r="36" spans="2:12" x14ac:dyDescent="0.25">
      <c r="B36" s="50" t="s">
        <v>44</v>
      </c>
      <c r="C36" s="58"/>
      <c r="D36" s="58"/>
      <c r="E36" s="50"/>
      <c r="F36" s="50"/>
      <c r="G36" s="53"/>
      <c r="H36" s="59">
        <v>1000</v>
      </c>
      <c r="I36" s="59">
        <f t="shared" ref="I36:L51" si="7">H36*(1+$I$34)</f>
        <v>1030</v>
      </c>
      <c r="J36" s="59">
        <f t="shared" si="7"/>
        <v>1060.9000000000001</v>
      </c>
      <c r="K36" s="59">
        <f t="shared" si="7"/>
        <v>1092.7270000000001</v>
      </c>
      <c r="L36" s="59">
        <f t="shared" si="7"/>
        <v>1125.50881</v>
      </c>
    </row>
    <row r="37" spans="2:12" x14ac:dyDescent="0.25">
      <c r="B37" s="50" t="s">
        <v>26</v>
      </c>
      <c r="C37" s="58"/>
      <c r="D37" s="58"/>
      <c r="E37" s="50"/>
      <c r="F37" s="50"/>
      <c r="G37" s="53"/>
      <c r="H37" s="59">
        <f>1*6*52*10*1.12</f>
        <v>3494.4000000000005</v>
      </c>
      <c r="I37" s="59">
        <f t="shared" si="7"/>
        <v>3599.2320000000009</v>
      </c>
      <c r="J37" s="59">
        <f t="shared" si="7"/>
        <v>3707.2089600000008</v>
      </c>
      <c r="K37" s="59">
        <f t="shared" si="7"/>
        <v>3818.4252288000012</v>
      </c>
      <c r="L37" s="59">
        <f t="shared" si="7"/>
        <v>3932.9779856640012</v>
      </c>
    </row>
    <row r="38" spans="2:12" x14ac:dyDescent="0.25">
      <c r="B38" s="50" t="s">
        <v>16</v>
      </c>
      <c r="C38" s="58"/>
      <c r="D38" s="58"/>
      <c r="E38" s="50"/>
      <c r="F38" s="50"/>
      <c r="G38" s="53"/>
      <c r="H38" s="59">
        <v>2500</v>
      </c>
      <c r="I38" s="59">
        <f t="shared" si="7"/>
        <v>2575</v>
      </c>
      <c r="J38" s="59">
        <f t="shared" si="7"/>
        <v>2652.25</v>
      </c>
      <c r="K38" s="59">
        <f t="shared" si="7"/>
        <v>2731.8175000000001</v>
      </c>
      <c r="L38" s="59">
        <f t="shared" si="7"/>
        <v>2813.7720250000002</v>
      </c>
    </row>
    <row r="39" spans="2:12" x14ac:dyDescent="0.25">
      <c r="B39" s="50" t="s">
        <v>34</v>
      </c>
      <c r="C39" s="58"/>
      <c r="D39" s="58"/>
      <c r="E39" s="50"/>
      <c r="F39" s="50"/>
      <c r="G39" s="53"/>
      <c r="H39" s="59">
        <v>2500</v>
      </c>
      <c r="I39" s="59">
        <f t="shared" si="7"/>
        <v>2575</v>
      </c>
      <c r="J39" s="59">
        <f t="shared" si="7"/>
        <v>2652.25</v>
      </c>
      <c r="K39" s="59">
        <f t="shared" si="7"/>
        <v>2731.8175000000001</v>
      </c>
      <c r="L39" s="59">
        <f t="shared" si="7"/>
        <v>2813.7720250000002</v>
      </c>
    </row>
    <row r="40" spans="2:12" x14ac:dyDescent="0.25">
      <c r="B40" s="50" t="s">
        <v>17</v>
      </c>
      <c r="C40" s="58"/>
      <c r="D40" s="58"/>
      <c r="E40" s="50"/>
      <c r="F40" s="50"/>
      <c r="G40" s="53"/>
      <c r="H40" s="59">
        <v>240</v>
      </c>
      <c r="I40" s="59">
        <f t="shared" si="7"/>
        <v>247.20000000000002</v>
      </c>
      <c r="J40" s="59">
        <f t="shared" si="7"/>
        <v>254.61600000000001</v>
      </c>
      <c r="K40" s="59">
        <f t="shared" si="7"/>
        <v>262.25448</v>
      </c>
      <c r="L40" s="59">
        <f t="shared" si="7"/>
        <v>270.12211439999999</v>
      </c>
    </row>
    <row r="41" spans="2:12" x14ac:dyDescent="0.25">
      <c r="B41" s="50" t="s">
        <v>18</v>
      </c>
      <c r="C41" s="58"/>
      <c r="D41" s="58"/>
      <c r="E41" s="50"/>
      <c r="F41" s="50"/>
      <c r="G41" s="53"/>
      <c r="H41" s="59">
        <v>1200</v>
      </c>
      <c r="I41" s="59">
        <f t="shared" si="7"/>
        <v>1236</v>
      </c>
      <c r="J41" s="59">
        <f t="shared" si="7"/>
        <v>1273.08</v>
      </c>
      <c r="K41" s="59">
        <f t="shared" si="7"/>
        <v>1311.2724000000001</v>
      </c>
      <c r="L41" s="59">
        <f t="shared" si="7"/>
        <v>1350.610572</v>
      </c>
    </row>
    <row r="42" spans="2:12" x14ac:dyDescent="0.25">
      <c r="B42" s="50" t="s">
        <v>33</v>
      </c>
      <c r="C42" s="58"/>
      <c r="D42" s="58"/>
      <c r="E42" s="50"/>
      <c r="F42" s="50"/>
      <c r="G42" s="53"/>
      <c r="H42" s="59">
        <v>2000</v>
      </c>
      <c r="I42" s="59">
        <f t="shared" si="7"/>
        <v>2060</v>
      </c>
      <c r="J42" s="59">
        <f t="shared" si="7"/>
        <v>2121.8000000000002</v>
      </c>
      <c r="K42" s="59">
        <f t="shared" si="7"/>
        <v>2185.4540000000002</v>
      </c>
      <c r="L42" s="59">
        <f t="shared" si="7"/>
        <v>2251.0176200000001</v>
      </c>
    </row>
    <row r="43" spans="2:12" x14ac:dyDescent="0.25">
      <c r="B43" s="50" t="s">
        <v>81</v>
      </c>
      <c r="C43" s="58"/>
      <c r="D43" s="58"/>
      <c r="E43" s="50"/>
      <c r="F43" s="50"/>
      <c r="G43" s="53"/>
      <c r="H43" s="59">
        <v>3200</v>
      </c>
      <c r="I43" s="59">
        <f t="shared" si="7"/>
        <v>3296</v>
      </c>
      <c r="J43" s="59">
        <f t="shared" si="7"/>
        <v>3394.88</v>
      </c>
      <c r="K43" s="59">
        <f t="shared" si="7"/>
        <v>3496.7264</v>
      </c>
      <c r="L43" s="59">
        <f t="shared" si="7"/>
        <v>3601.6281920000001</v>
      </c>
    </row>
    <row r="44" spans="2:12" x14ac:dyDescent="0.25">
      <c r="B44" s="50" t="s">
        <v>20</v>
      </c>
      <c r="C44" s="58"/>
      <c r="D44" s="58"/>
      <c r="E44" s="50"/>
      <c r="F44" s="50"/>
      <c r="G44" s="53"/>
      <c r="H44" s="59">
        <v>600</v>
      </c>
      <c r="I44" s="59">
        <f t="shared" si="7"/>
        <v>618</v>
      </c>
      <c r="J44" s="59">
        <f t="shared" si="7"/>
        <v>636.54</v>
      </c>
      <c r="K44" s="59">
        <f t="shared" si="7"/>
        <v>655.63620000000003</v>
      </c>
      <c r="L44" s="59">
        <f t="shared" si="7"/>
        <v>675.30528600000002</v>
      </c>
    </row>
    <row r="45" spans="2:12" x14ac:dyDescent="0.25">
      <c r="B45" s="50" t="s">
        <v>6</v>
      </c>
      <c r="C45" s="58"/>
      <c r="D45" s="58"/>
      <c r="E45" s="50"/>
      <c r="F45" s="50"/>
      <c r="G45" s="53"/>
      <c r="H45" s="59">
        <v>360</v>
      </c>
      <c r="I45" s="59">
        <f t="shared" si="7"/>
        <v>370.8</v>
      </c>
      <c r="J45" s="59">
        <f t="shared" si="7"/>
        <v>381.92400000000004</v>
      </c>
      <c r="K45" s="59">
        <f t="shared" si="7"/>
        <v>393.38172000000003</v>
      </c>
      <c r="L45" s="59">
        <f t="shared" si="7"/>
        <v>405.18317160000004</v>
      </c>
    </row>
    <row r="46" spans="2:12" x14ac:dyDescent="0.25">
      <c r="B46" s="50" t="s">
        <v>21</v>
      </c>
      <c r="C46" s="58"/>
      <c r="D46" s="58"/>
      <c r="E46" s="50"/>
      <c r="F46" s="50"/>
      <c r="G46" s="53"/>
      <c r="H46" s="59">
        <v>2000</v>
      </c>
      <c r="I46" s="59">
        <f t="shared" si="7"/>
        <v>2060</v>
      </c>
      <c r="J46" s="59">
        <f t="shared" si="7"/>
        <v>2121.8000000000002</v>
      </c>
      <c r="K46" s="59">
        <f t="shared" si="7"/>
        <v>2185.4540000000002</v>
      </c>
      <c r="L46" s="59">
        <f t="shared" si="7"/>
        <v>2251.0176200000001</v>
      </c>
    </row>
    <row r="47" spans="2:12" x14ac:dyDescent="0.25">
      <c r="B47" s="50" t="s">
        <v>5</v>
      </c>
      <c r="C47" s="58"/>
      <c r="D47" s="58"/>
      <c r="E47" s="50"/>
      <c r="F47" s="50"/>
      <c r="G47" s="53"/>
      <c r="H47" s="59">
        <v>2000</v>
      </c>
      <c r="I47" s="59">
        <f t="shared" si="7"/>
        <v>2060</v>
      </c>
      <c r="J47" s="59">
        <f t="shared" si="7"/>
        <v>2121.8000000000002</v>
      </c>
      <c r="K47" s="59">
        <f t="shared" si="7"/>
        <v>2185.4540000000002</v>
      </c>
      <c r="L47" s="59">
        <f t="shared" si="7"/>
        <v>2251.0176200000001</v>
      </c>
    </row>
    <row r="48" spans="2:12" x14ac:dyDescent="0.25">
      <c r="B48" s="50" t="s">
        <v>82</v>
      </c>
      <c r="C48" s="58"/>
      <c r="D48" s="58"/>
      <c r="E48" s="50"/>
      <c r="F48" s="50"/>
      <c r="G48" s="53"/>
      <c r="H48" s="59">
        <v>4000</v>
      </c>
      <c r="I48" s="59">
        <f t="shared" si="7"/>
        <v>4120</v>
      </c>
      <c r="J48" s="59">
        <f t="shared" si="7"/>
        <v>4243.6000000000004</v>
      </c>
      <c r="K48" s="59">
        <f t="shared" si="7"/>
        <v>4370.9080000000004</v>
      </c>
      <c r="L48" s="59">
        <f t="shared" si="7"/>
        <v>4502.0352400000002</v>
      </c>
    </row>
    <row r="49" spans="1:19" x14ac:dyDescent="0.25">
      <c r="B49" s="50" t="s">
        <v>83</v>
      </c>
      <c r="C49" s="58"/>
      <c r="D49" s="58"/>
      <c r="E49" s="50"/>
      <c r="F49" s="50"/>
      <c r="G49" s="53"/>
      <c r="H49" s="59">
        <v>2000</v>
      </c>
      <c r="I49" s="59">
        <f t="shared" si="7"/>
        <v>2060</v>
      </c>
      <c r="J49" s="59">
        <f t="shared" si="7"/>
        <v>2121.8000000000002</v>
      </c>
      <c r="K49" s="59">
        <f t="shared" si="7"/>
        <v>2185.4540000000002</v>
      </c>
      <c r="L49" s="59">
        <f t="shared" si="7"/>
        <v>2251.0176200000001</v>
      </c>
    </row>
    <row r="50" spans="1:19" x14ac:dyDescent="0.25">
      <c r="B50" s="50" t="s">
        <v>23</v>
      </c>
      <c r="C50" s="58"/>
      <c r="D50" s="58"/>
      <c r="E50" s="50"/>
      <c r="F50" s="50"/>
      <c r="G50" s="53"/>
      <c r="H50" s="59">
        <f>H31*0.01</f>
        <v>448.88333333333338</v>
      </c>
      <c r="I50" s="59">
        <f t="shared" si="7"/>
        <v>462.34983333333338</v>
      </c>
      <c r="J50" s="59">
        <f t="shared" si="7"/>
        <v>476.22032833333338</v>
      </c>
      <c r="K50" s="59">
        <f t="shared" si="7"/>
        <v>490.50693818333338</v>
      </c>
      <c r="L50" s="59">
        <f t="shared" si="7"/>
        <v>505.22214632883339</v>
      </c>
    </row>
    <row r="51" spans="1:19" x14ac:dyDescent="0.25">
      <c r="B51" s="50" t="s">
        <v>7</v>
      </c>
      <c r="C51" s="58"/>
      <c r="D51" s="58"/>
      <c r="E51" s="50"/>
      <c r="F51" s="50"/>
      <c r="G51" s="53"/>
      <c r="H51" s="59">
        <v>500</v>
      </c>
      <c r="I51" s="59">
        <f t="shared" si="7"/>
        <v>515</v>
      </c>
      <c r="J51" s="59">
        <f t="shared" si="7"/>
        <v>530.45000000000005</v>
      </c>
      <c r="K51" s="59">
        <f t="shared" si="7"/>
        <v>546.36350000000004</v>
      </c>
      <c r="L51" s="59">
        <f t="shared" si="7"/>
        <v>562.75440500000002</v>
      </c>
    </row>
    <row r="52" spans="1:19" x14ac:dyDescent="0.25">
      <c r="B52" s="50"/>
      <c r="C52" s="58"/>
      <c r="D52" s="58"/>
      <c r="E52" s="50"/>
      <c r="F52" s="50"/>
      <c r="G52" s="53"/>
      <c r="H52" s="50"/>
      <c r="I52" s="50"/>
      <c r="J52" s="50"/>
      <c r="K52" s="50"/>
      <c r="L52" s="50"/>
    </row>
    <row r="53" spans="1:19" x14ac:dyDescent="0.25">
      <c r="B53" s="49" t="s">
        <v>24</v>
      </c>
      <c r="C53" s="60"/>
      <c r="D53" s="60"/>
      <c r="E53" s="49"/>
      <c r="F53" s="49"/>
      <c r="G53" s="56"/>
      <c r="H53" s="61">
        <f>SUM(H35:H52)</f>
        <v>37652.883333333331</v>
      </c>
      <c r="I53" s="61">
        <f>SUM(I35:I52)</f>
        <v>38782.469833333336</v>
      </c>
      <c r="J53" s="61">
        <f>SUM(J35:J52)</f>
        <v>39945.943928333334</v>
      </c>
      <c r="K53" s="61">
        <f>SUM(K35:K52)</f>
        <v>41144.322246183343</v>
      </c>
      <c r="L53" s="61">
        <f>SUM(L35:L52)</f>
        <v>42378.651913568836</v>
      </c>
    </row>
    <row r="54" spans="1:19" x14ac:dyDescent="0.25">
      <c r="B54" s="50"/>
      <c r="C54" s="50"/>
      <c r="D54" s="50"/>
      <c r="E54" s="50"/>
      <c r="F54" s="50"/>
      <c r="G54" s="53"/>
      <c r="H54" s="53"/>
      <c r="I54" s="53"/>
      <c r="J54" s="53"/>
      <c r="K54" s="53"/>
      <c r="L54" s="53"/>
    </row>
    <row r="55" spans="1:19" x14ac:dyDescent="0.25">
      <c r="B55" s="49" t="s">
        <v>25</v>
      </c>
      <c r="C55" s="50"/>
      <c r="D55" s="50"/>
      <c r="E55" s="50"/>
      <c r="F55" s="50"/>
      <c r="G55" s="56"/>
      <c r="H55" s="62">
        <f>H31-H53</f>
        <v>7235.4500000000044</v>
      </c>
      <c r="I55" s="62">
        <f>I31-I53</f>
        <v>9182.9135000000024</v>
      </c>
      <c r="J55" s="62">
        <f>J31-J53</f>
        <v>11228.616905000003</v>
      </c>
      <c r="K55" s="62">
        <f>K31-K53</f>
        <v>11541.283412149998</v>
      </c>
      <c r="L55" s="62">
        <f>L31-L53</f>
        <v>11851.233914514509</v>
      </c>
    </row>
    <row r="56" spans="1:19" x14ac:dyDescent="0.25">
      <c r="B56" s="50"/>
      <c r="C56" s="50"/>
      <c r="D56" s="50"/>
      <c r="E56" s="50"/>
      <c r="F56" s="50"/>
      <c r="G56" s="53"/>
      <c r="H56" s="53"/>
      <c r="I56" s="53"/>
      <c r="J56" s="53"/>
      <c r="K56" s="53"/>
      <c r="L56" s="53"/>
    </row>
    <row r="57" spans="1:19" ht="15.75" x14ac:dyDescent="0.25">
      <c r="B57" s="20" t="s">
        <v>35</v>
      </c>
      <c r="H57" s="2"/>
      <c r="I57" s="2"/>
      <c r="J57" s="2"/>
      <c r="K57" s="2"/>
      <c r="L57" s="2"/>
      <c r="M57" s="2"/>
      <c r="N57" s="2"/>
      <c r="O57" s="2"/>
      <c r="P57" s="2"/>
      <c r="Q57" s="2"/>
      <c r="R57" s="2"/>
      <c r="S57" s="2"/>
    </row>
    <row r="58" spans="1:19" ht="31.5" customHeight="1" x14ac:dyDescent="0.25">
      <c r="A58" s="75">
        <v>1</v>
      </c>
      <c r="B58" s="79" t="s">
        <v>87</v>
      </c>
      <c r="C58" s="79"/>
      <c r="D58" s="79"/>
      <c r="E58" s="79"/>
      <c r="F58" s="79"/>
      <c r="G58" s="79"/>
      <c r="H58" s="79"/>
      <c r="I58" s="79"/>
      <c r="J58" s="79"/>
      <c r="K58" s="79"/>
      <c r="L58" s="79"/>
      <c r="M58" s="2"/>
      <c r="N58" s="2"/>
      <c r="O58" s="2"/>
      <c r="P58" s="2"/>
      <c r="Q58" s="2"/>
      <c r="R58" s="2"/>
      <c r="S58" s="2"/>
    </row>
    <row r="59" spans="1:19" ht="32.25" customHeight="1" x14ac:dyDescent="0.25">
      <c r="A59" s="75">
        <v>2</v>
      </c>
      <c r="B59" s="79" t="s">
        <v>97</v>
      </c>
      <c r="C59" s="79"/>
      <c r="D59" s="79"/>
      <c r="E59" s="79"/>
      <c r="F59" s="79"/>
      <c r="G59" s="79"/>
      <c r="H59" s="79"/>
      <c r="I59" s="79"/>
      <c r="J59" s="79"/>
      <c r="K59" s="79"/>
      <c r="L59" s="79"/>
      <c r="M59" s="2"/>
      <c r="N59" s="2"/>
      <c r="O59" s="2"/>
      <c r="P59" s="2"/>
      <c r="Q59" s="2"/>
      <c r="R59" s="2"/>
      <c r="S59" s="2"/>
    </row>
    <row r="60" spans="1:19" ht="49.5" customHeight="1" x14ac:dyDescent="0.25">
      <c r="A60" s="75">
        <v>3</v>
      </c>
      <c r="B60" s="79" t="s">
        <v>92</v>
      </c>
      <c r="C60" s="79"/>
      <c r="D60" s="79"/>
      <c r="E60" s="79"/>
      <c r="F60" s="79"/>
      <c r="G60" s="79"/>
      <c r="H60" s="79"/>
      <c r="I60" s="79"/>
      <c r="J60" s="79"/>
      <c r="K60" s="79"/>
      <c r="L60" s="79"/>
      <c r="M60" s="2"/>
      <c r="N60" s="2"/>
      <c r="O60" s="2"/>
      <c r="P60" s="2"/>
      <c r="Q60" s="2"/>
      <c r="R60" s="2"/>
      <c r="S60" s="2"/>
    </row>
    <row r="61" spans="1:19" ht="33" customHeight="1" x14ac:dyDescent="0.25">
      <c r="A61" s="75">
        <v>4</v>
      </c>
      <c r="B61" s="79" t="s">
        <v>93</v>
      </c>
      <c r="C61" s="79"/>
      <c r="D61" s="79"/>
      <c r="E61" s="79"/>
      <c r="F61" s="79"/>
      <c r="G61" s="79"/>
      <c r="H61" s="79"/>
      <c r="I61" s="79"/>
      <c r="J61" s="79"/>
      <c r="K61" s="79"/>
      <c r="L61" s="79"/>
      <c r="M61" s="2"/>
      <c r="N61" s="2"/>
      <c r="O61" s="2"/>
      <c r="P61" s="2"/>
      <c r="Q61" s="2"/>
      <c r="R61" s="2"/>
      <c r="S61" s="2"/>
    </row>
    <row r="62" spans="1:19" ht="49.5" customHeight="1" x14ac:dyDescent="0.25">
      <c r="A62" s="75">
        <v>5</v>
      </c>
      <c r="B62" s="79" t="s">
        <v>94</v>
      </c>
      <c r="C62" s="79"/>
      <c r="D62" s="79"/>
      <c r="E62" s="79"/>
      <c r="F62" s="79"/>
      <c r="G62" s="79"/>
      <c r="H62" s="79"/>
      <c r="I62" s="79"/>
      <c r="J62" s="79"/>
      <c r="K62" s="79"/>
      <c r="L62" s="79"/>
      <c r="M62" s="2"/>
      <c r="N62" s="2"/>
      <c r="O62" s="2"/>
      <c r="P62" s="2"/>
      <c r="Q62" s="2"/>
      <c r="R62" s="2"/>
      <c r="S62" s="2"/>
    </row>
    <row r="63" spans="1:19" ht="32.25" customHeight="1" x14ac:dyDescent="0.25">
      <c r="A63" s="75">
        <v>6</v>
      </c>
      <c r="B63" s="79" t="s">
        <v>95</v>
      </c>
      <c r="C63" s="79"/>
      <c r="D63" s="79"/>
      <c r="E63" s="79"/>
      <c r="F63" s="79"/>
      <c r="G63" s="79"/>
      <c r="H63" s="79"/>
      <c r="I63" s="79"/>
      <c r="J63" s="79"/>
      <c r="K63" s="79"/>
      <c r="L63" s="79"/>
      <c r="M63" s="2"/>
      <c r="N63" s="2"/>
      <c r="O63" s="2"/>
      <c r="P63" s="2"/>
      <c r="Q63" s="2"/>
      <c r="R63" s="2"/>
      <c r="S63" s="2"/>
    </row>
    <row r="64" spans="1:19" ht="19.5" customHeight="1" x14ac:dyDescent="0.25">
      <c r="A64" s="75">
        <v>7</v>
      </c>
      <c r="B64" s="79" t="s">
        <v>96</v>
      </c>
      <c r="C64" s="79"/>
      <c r="D64" s="79"/>
      <c r="E64" s="79"/>
      <c r="F64" s="79"/>
      <c r="G64" s="79"/>
      <c r="H64" s="79"/>
      <c r="I64" s="79"/>
      <c r="J64" s="79"/>
      <c r="K64" s="79"/>
      <c r="L64" s="79"/>
      <c r="M64" s="2"/>
      <c r="N64" s="2"/>
      <c r="O64" s="2"/>
      <c r="P64" s="2"/>
      <c r="Q64" s="2"/>
      <c r="R64" s="2"/>
      <c r="S64" s="2"/>
    </row>
    <row r="66" spans="2:9" x14ac:dyDescent="0.25">
      <c r="B66" s="50"/>
      <c r="C66" s="50"/>
      <c r="D66" s="50"/>
      <c r="E66" s="50"/>
      <c r="F66" s="50"/>
      <c r="G66" s="53"/>
      <c r="H66" s="53"/>
      <c r="I66" s="50"/>
    </row>
    <row r="67" spans="2:9" x14ac:dyDescent="0.25">
      <c r="B67" s="50"/>
      <c r="C67" s="50"/>
      <c r="D67" s="50"/>
      <c r="E67" s="50"/>
      <c r="F67" s="50"/>
      <c r="G67" s="53"/>
      <c r="H67" s="53"/>
      <c r="I67" s="50"/>
    </row>
    <row r="68" spans="2:9" x14ac:dyDescent="0.25">
      <c r="B68" s="50"/>
      <c r="C68" s="50"/>
      <c r="D68" s="50"/>
      <c r="E68" s="50"/>
      <c r="F68" s="50"/>
      <c r="G68" s="53"/>
      <c r="H68" s="53"/>
      <c r="I68" s="50"/>
    </row>
    <row r="69" spans="2:9" x14ac:dyDescent="0.25">
      <c r="B69" s="50"/>
      <c r="C69" s="50"/>
      <c r="D69" s="50"/>
      <c r="E69" s="50"/>
      <c r="F69" s="50"/>
      <c r="G69" s="53"/>
      <c r="H69" s="53"/>
      <c r="I69" s="50"/>
    </row>
    <row r="70" spans="2:9" x14ac:dyDescent="0.25">
      <c r="B70" s="50"/>
      <c r="C70" s="50"/>
      <c r="D70" s="50"/>
      <c r="E70" s="50"/>
      <c r="F70" s="50"/>
      <c r="G70" s="53"/>
      <c r="H70" s="53"/>
      <c r="I70" s="50"/>
    </row>
    <row r="71" spans="2:9" x14ac:dyDescent="0.25">
      <c r="B71" s="50"/>
      <c r="C71" s="50"/>
      <c r="D71" s="50"/>
      <c r="E71" s="50"/>
      <c r="F71" s="50"/>
      <c r="G71" s="53"/>
      <c r="H71" s="53"/>
      <c r="I71" s="50"/>
    </row>
    <row r="72" spans="2:9" x14ac:dyDescent="0.25">
      <c r="B72" s="50"/>
      <c r="C72" s="50"/>
      <c r="D72" s="50"/>
      <c r="E72" s="50"/>
      <c r="F72" s="50"/>
      <c r="G72" s="53"/>
      <c r="H72" s="53"/>
      <c r="I72" s="50"/>
    </row>
    <row r="73" spans="2:9" x14ac:dyDescent="0.25">
      <c r="B73" s="50"/>
      <c r="C73" s="50"/>
      <c r="D73" s="50"/>
      <c r="E73" s="50"/>
      <c r="F73" s="50"/>
      <c r="G73" s="53"/>
      <c r="H73" s="53"/>
      <c r="I73" s="50"/>
    </row>
    <row r="74" spans="2:9" x14ac:dyDescent="0.25">
      <c r="B74" s="50"/>
      <c r="C74" s="50"/>
      <c r="D74" s="50"/>
      <c r="E74" s="50"/>
      <c r="F74" s="50"/>
      <c r="G74" s="53"/>
      <c r="H74" s="53"/>
      <c r="I74" s="50"/>
    </row>
    <row r="75" spans="2:9" x14ac:dyDescent="0.25">
      <c r="B75" s="50"/>
      <c r="C75" s="50"/>
      <c r="D75" s="50"/>
      <c r="E75" s="50"/>
      <c r="F75" s="50"/>
      <c r="G75" s="53"/>
      <c r="H75" s="53"/>
      <c r="I75" s="50"/>
    </row>
    <row r="76" spans="2:9" x14ac:dyDescent="0.25">
      <c r="B76" s="50"/>
      <c r="C76" s="50"/>
      <c r="D76" s="50"/>
      <c r="E76" s="50"/>
      <c r="F76" s="50"/>
      <c r="G76" s="53"/>
      <c r="H76" s="53"/>
      <c r="I76" s="50"/>
    </row>
  </sheetData>
  <mergeCells count="8">
    <mergeCell ref="B63:L63"/>
    <mergeCell ref="B64:L64"/>
    <mergeCell ref="I5:J5"/>
    <mergeCell ref="B58:L58"/>
    <mergeCell ref="B59:L59"/>
    <mergeCell ref="B60:L60"/>
    <mergeCell ref="B61:L61"/>
    <mergeCell ref="B62:L62"/>
  </mergeCells>
  <pageMargins left="0.70866141732283472" right="0.70866141732283472" top="0.74803149606299213" bottom="0.74803149606299213" header="0.31496062992125984" footer="0.31496062992125984"/>
  <pageSetup paperSize="9" scale="63" orientation="portrait" r:id="rId1"/>
  <rowBreaks count="1" manualBreakCount="1">
    <brk id="6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C6D5D-DB41-425D-A208-2219B9EC95D4}">
  <dimension ref="A3:D26"/>
  <sheetViews>
    <sheetView topLeftCell="A8" workbookViewId="0">
      <selection activeCell="C12" sqref="C12"/>
    </sheetView>
  </sheetViews>
  <sheetFormatPr defaultRowHeight="15" x14ac:dyDescent="0.25"/>
  <cols>
    <col min="1" max="1" width="20.7109375" customWidth="1"/>
  </cols>
  <sheetData>
    <row r="3" spans="1:4" x14ac:dyDescent="0.25">
      <c r="A3" s="42"/>
      <c r="B3" s="43" t="s">
        <v>72</v>
      </c>
      <c r="C3" s="43"/>
      <c r="D3" s="44"/>
    </row>
    <row r="4" spans="1:4" x14ac:dyDescent="0.25">
      <c r="A4" s="45"/>
      <c r="B4" s="46" t="s">
        <v>66</v>
      </c>
      <c r="C4" s="46" t="s">
        <v>67</v>
      </c>
      <c r="D4" s="46" t="s">
        <v>68</v>
      </c>
    </row>
    <row r="5" spans="1:4" x14ac:dyDescent="0.25">
      <c r="A5" s="45" t="s">
        <v>63</v>
      </c>
      <c r="B5" s="45">
        <f>'Summary 6 berth'!G24</f>
        <v>24136.666666666668</v>
      </c>
      <c r="C5" s="45">
        <f>'5 year 12 berth'!H31</f>
        <v>44888.333333333336</v>
      </c>
      <c r="D5" s="45">
        <f>'Summary 26 berth'!G24</f>
        <v>37233.333333333328</v>
      </c>
    </row>
    <row r="6" spans="1:4" x14ac:dyDescent="0.25">
      <c r="A6" s="45" t="s">
        <v>64</v>
      </c>
      <c r="B6" s="45">
        <f>'Summary 6 berth'!G45</f>
        <v>26658.166666666668</v>
      </c>
      <c r="C6" s="45">
        <f>'5 year 12 berth'!H53</f>
        <v>37652.883333333331</v>
      </c>
      <c r="D6" s="45">
        <f>'Summary 26 berth'!G45</f>
        <v>29789.133333333335</v>
      </c>
    </row>
    <row r="7" spans="1:4" x14ac:dyDescent="0.25">
      <c r="A7" s="47" t="s">
        <v>69</v>
      </c>
      <c r="B7" s="48">
        <f>B5-B6</f>
        <v>-2521.5</v>
      </c>
      <c r="C7" s="47">
        <f>C5-C6</f>
        <v>7235.4500000000044</v>
      </c>
      <c r="D7" s="47">
        <f>D5-D6</f>
        <v>7444.1999999999935</v>
      </c>
    </row>
    <row r="8" spans="1:4" x14ac:dyDescent="0.25">
      <c r="A8" s="4"/>
      <c r="B8" s="4"/>
      <c r="C8" s="4"/>
      <c r="D8" s="4"/>
    </row>
    <row r="9" spans="1:4" x14ac:dyDescent="0.25">
      <c r="A9" s="4"/>
      <c r="B9" s="4"/>
      <c r="C9" s="4"/>
      <c r="D9" s="4"/>
    </row>
    <row r="10" spans="1:4" x14ac:dyDescent="0.25">
      <c r="A10" s="42"/>
      <c r="B10" s="43" t="s">
        <v>65</v>
      </c>
      <c r="C10" s="43"/>
      <c r="D10" s="44"/>
    </row>
    <row r="11" spans="1:4" x14ac:dyDescent="0.25">
      <c r="A11" s="45"/>
      <c r="B11" s="46" t="s">
        <v>66</v>
      </c>
      <c r="C11" s="46" t="s">
        <v>67</v>
      </c>
      <c r="D11" s="46" t="s">
        <v>68</v>
      </c>
    </row>
    <row r="12" spans="1:4" x14ac:dyDescent="0.25">
      <c r="A12" s="45" t="s">
        <v>63</v>
      </c>
      <c r="B12" s="45">
        <f>'Summary 6 berth'!G24</f>
        <v>24136.666666666668</v>
      </c>
      <c r="C12" s="45">
        <f>'5 year 12 berth'!H31</f>
        <v>44888.333333333336</v>
      </c>
      <c r="D12" s="45">
        <f>'Summary 26 berth'!G24</f>
        <v>37233.333333333328</v>
      </c>
    </row>
    <row r="13" spans="1:4" x14ac:dyDescent="0.25">
      <c r="A13" s="45" t="s">
        <v>64</v>
      </c>
      <c r="B13" s="45">
        <f>'Summary 6 berth'!G45</f>
        <v>26658.166666666668</v>
      </c>
      <c r="C13" s="45">
        <f>'5 year 12 berth'!H53</f>
        <v>37652.883333333331</v>
      </c>
      <c r="D13" s="45">
        <f>'Summary 26 berth'!G45</f>
        <v>29789.133333333335</v>
      </c>
    </row>
    <row r="14" spans="1:4" x14ac:dyDescent="0.25">
      <c r="A14" s="47" t="s">
        <v>69</v>
      </c>
      <c r="B14" s="48">
        <f>B12-B13</f>
        <v>-2521.5</v>
      </c>
      <c r="C14" s="47">
        <f>C12-C13</f>
        <v>7235.4500000000044</v>
      </c>
      <c r="D14" s="47">
        <f>D12-D13</f>
        <v>7444.1999999999935</v>
      </c>
    </row>
    <row r="15" spans="1:4" x14ac:dyDescent="0.25">
      <c r="A15" s="2"/>
      <c r="B15" s="4"/>
      <c r="C15" s="4"/>
      <c r="D15" s="4"/>
    </row>
    <row r="16" spans="1:4" x14ac:dyDescent="0.25">
      <c r="A16" s="42"/>
      <c r="B16" s="43" t="s">
        <v>70</v>
      </c>
      <c r="C16" s="43"/>
      <c r="D16" s="44"/>
    </row>
    <row r="17" spans="1:4" x14ac:dyDescent="0.25">
      <c r="A17" s="45"/>
      <c r="B17" s="46" t="s">
        <v>66</v>
      </c>
      <c r="C17" s="46" t="s">
        <v>67</v>
      </c>
      <c r="D17" s="46" t="s">
        <v>68</v>
      </c>
    </row>
    <row r="18" spans="1:4" x14ac:dyDescent="0.25">
      <c r="A18" s="45" t="s">
        <v>63</v>
      </c>
      <c r="B18" s="45">
        <f>'Summary 6 berth'!I24</f>
        <v>10000</v>
      </c>
      <c r="C18" s="45" t="e">
        <f>'5 year 12 berth'!#REF!</f>
        <v>#REF!</v>
      </c>
      <c r="D18" s="45">
        <f>'Summary 26 berth'!I24</f>
        <v>15000</v>
      </c>
    </row>
    <row r="19" spans="1:4" x14ac:dyDescent="0.25">
      <c r="A19" s="45" t="s">
        <v>64</v>
      </c>
      <c r="B19" s="45">
        <f>'Summary 6 berth'!I45</f>
        <v>7600</v>
      </c>
      <c r="C19" s="45" t="e">
        <f>'5 year 12 berth'!#REF!</f>
        <v>#REF!</v>
      </c>
      <c r="D19" s="45">
        <f>'Summary 26 berth'!I45</f>
        <v>7600</v>
      </c>
    </row>
    <row r="20" spans="1:4" x14ac:dyDescent="0.25">
      <c r="A20" s="47" t="s">
        <v>69</v>
      </c>
      <c r="B20" s="47">
        <f>B18-B19</f>
        <v>2400</v>
      </c>
      <c r="C20" s="47" t="e">
        <f>C18-C19</f>
        <v>#REF!</v>
      </c>
      <c r="D20" s="47">
        <f>D18-D19</f>
        <v>7400</v>
      </c>
    </row>
    <row r="21" spans="1:4" x14ac:dyDescent="0.25">
      <c r="A21" s="4"/>
      <c r="B21" s="4"/>
      <c r="C21" s="4"/>
      <c r="D21" s="4"/>
    </row>
    <row r="22" spans="1:4" x14ac:dyDescent="0.25">
      <c r="A22" s="42"/>
      <c r="B22" s="43" t="s">
        <v>71</v>
      </c>
      <c r="C22" s="43"/>
      <c r="D22" s="44"/>
    </row>
    <row r="23" spans="1:4" x14ac:dyDescent="0.25">
      <c r="A23" s="45"/>
      <c r="B23" s="46" t="s">
        <v>66</v>
      </c>
      <c r="C23" s="46" t="s">
        <v>67</v>
      </c>
      <c r="D23" s="46" t="s">
        <v>68</v>
      </c>
    </row>
    <row r="24" spans="1:4" x14ac:dyDescent="0.25">
      <c r="A24" s="45" t="s">
        <v>63</v>
      </c>
      <c r="B24" s="45">
        <f>'Summary 6 berth'!K24</f>
        <v>28964</v>
      </c>
      <c r="C24" s="45" t="e">
        <f>'5 year 12 berth'!#REF!</f>
        <v>#REF!</v>
      </c>
      <c r="D24" s="45">
        <f>'Summary 26 berth'!K24</f>
        <v>44680</v>
      </c>
    </row>
    <row r="25" spans="1:4" x14ac:dyDescent="0.25">
      <c r="A25" s="45" t="s">
        <v>64</v>
      </c>
      <c r="B25" s="45">
        <f>'Summary 6 berth'!K45</f>
        <v>20346.84</v>
      </c>
      <c r="C25" s="45" t="e">
        <f>'5 year 12 berth'!#REF!</f>
        <v>#REF!</v>
      </c>
      <c r="D25" s="45">
        <f>'Summary 26 berth'!K45</f>
        <v>28504</v>
      </c>
    </row>
    <row r="26" spans="1:4" x14ac:dyDescent="0.25">
      <c r="A26" s="47" t="s">
        <v>69</v>
      </c>
      <c r="B26" s="47">
        <f>B24-B25</f>
        <v>8617.16</v>
      </c>
      <c r="C26" s="47" t="e">
        <f>C24-C25</f>
        <v>#REF!</v>
      </c>
      <c r="D26" s="47">
        <f>D24-D25</f>
        <v>16176</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7CF6D-704E-4B24-BF3E-6F8190F7A83E}">
  <sheetPr>
    <pageSetUpPr fitToPage="1"/>
  </sheetPr>
  <dimension ref="A1:O72"/>
  <sheetViews>
    <sheetView topLeftCell="A20" zoomScaleNormal="100" workbookViewId="0">
      <selection activeCell="G28" sqref="G28"/>
    </sheetView>
  </sheetViews>
  <sheetFormatPr defaultRowHeight="15" x14ac:dyDescent="0.25"/>
  <cols>
    <col min="1" max="1" width="32.42578125" style="4" customWidth="1"/>
    <col min="2" max="2" width="9.28515625" style="4" customWidth="1"/>
    <col min="3" max="3" width="11.140625" style="4" customWidth="1"/>
    <col min="4" max="4" width="8.28515625" style="4" customWidth="1"/>
    <col min="5" max="5" width="10.42578125" style="4" customWidth="1"/>
    <col min="6" max="6" width="3.85546875" style="4" customWidth="1"/>
    <col min="7" max="7" width="10.5703125" style="4" bestFit="1" customWidth="1"/>
    <col min="8" max="8" width="5.42578125" style="4" customWidth="1"/>
    <col min="9" max="9" width="9.140625" style="4"/>
    <col min="10" max="10" width="5.5703125" style="4" customWidth="1"/>
    <col min="11" max="11" width="11.28515625" style="4" customWidth="1"/>
    <col min="12" max="12" width="9.140625" style="4"/>
    <col min="13" max="13" width="19" style="4" customWidth="1"/>
    <col min="14" max="14" width="9.85546875" style="4" customWidth="1"/>
    <col min="15" max="15" width="10.42578125" style="4" customWidth="1"/>
    <col min="16" max="16384" width="9.140625" style="4"/>
  </cols>
  <sheetData>
    <row r="1" spans="1:15" x14ac:dyDescent="0.25">
      <c r="A1" s="5" t="s">
        <v>47</v>
      </c>
      <c r="B1" s="5"/>
      <c r="C1" s="5"/>
      <c r="D1" s="5"/>
    </row>
    <row r="2" spans="1:15" x14ac:dyDescent="0.25">
      <c r="A2" s="5" t="s">
        <v>62</v>
      </c>
    </row>
    <row r="4" spans="1:15" x14ac:dyDescent="0.25">
      <c r="F4" s="5"/>
      <c r="G4" s="5" t="s">
        <v>0</v>
      </c>
      <c r="H4" s="5"/>
      <c r="I4" s="5" t="s">
        <v>1</v>
      </c>
      <c r="J4" s="5"/>
      <c r="K4" s="21" t="s">
        <v>53</v>
      </c>
    </row>
    <row r="5" spans="1:15" x14ac:dyDescent="0.25">
      <c r="F5" s="5"/>
      <c r="G5" s="3" t="s">
        <v>45</v>
      </c>
      <c r="H5" s="5"/>
      <c r="I5" s="3" t="s">
        <v>49</v>
      </c>
      <c r="J5" s="5"/>
      <c r="K5" s="22" t="s">
        <v>51</v>
      </c>
    </row>
    <row r="6" spans="1:15" x14ac:dyDescent="0.25">
      <c r="F6" s="5"/>
      <c r="G6" s="3" t="s">
        <v>46</v>
      </c>
      <c r="H6" s="5"/>
      <c r="I6" s="3" t="s">
        <v>50</v>
      </c>
      <c r="J6" s="5"/>
      <c r="K6" s="22" t="s">
        <v>52</v>
      </c>
    </row>
    <row r="7" spans="1:15" x14ac:dyDescent="0.25">
      <c r="K7" s="22" t="s">
        <v>54</v>
      </c>
    </row>
    <row r="8" spans="1:15" x14ac:dyDescent="0.25">
      <c r="A8" s="7" t="s">
        <v>30</v>
      </c>
      <c r="B8" s="8"/>
      <c r="C8" s="8"/>
      <c r="D8" s="8"/>
      <c r="E8" s="8"/>
      <c r="F8" s="8"/>
      <c r="G8" s="8"/>
      <c r="H8" s="8"/>
      <c r="I8" s="8"/>
      <c r="J8" s="8"/>
      <c r="K8" s="24"/>
      <c r="N8" s="82"/>
      <c r="O8" s="82"/>
    </row>
    <row r="9" spans="1:15" x14ac:dyDescent="0.25">
      <c r="A9" s="8" t="s">
        <v>2</v>
      </c>
      <c r="B9" s="8"/>
      <c r="C9" s="8"/>
      <c r="D9" s="8"/>
      <c r="E9" s="8"/>
      <c r="F9" s="9"/>
      <c r="G9" s="9">
        <f>449900+70000</f>
        <v>519900</v>
      </c>
      <c r="H9" s="9"/>
      <c r="I9" s="9">
        <f>449900+70000</f>
        <v>519900</v>
      </c>
      <c r="J9" s="9"/>
      <c r="K9" s="25"/>
      <c r="N9" s="68"/>
      <c r="O9" s="69"/>
    </row>
    <row r="10" spans="1:15" x14ac:dyDescent="0.25">
      <c r="A10" s="8" t="s">
        <v>48</v>
      </c>
      <c r="B10" s="8"/>
      <c r="C10" s="8"/>
      <c r="D10" s="8"/>
      <c r="E10" s="8"/>
      <c r="F10" s="9"/>
      <c r="G10" s="9">
        <f>G9*0.2</f>
        <v>103980</v>
      </c>
      <c r="H10" s="9"/>
      <c r="I10" s="9">
        <f>I9*0.2</f>
        <v>103980</v>
      </c>
      <c r="J10" s="9"/>
      <c r="K10" s="25"/>
      <c r="N10" s="68"/>
      <c r="O10" s="69"/>
    </row>
    <row r="11" spans="1:15" x14ac:dyDescent="0.25">
      <c r="A11" s="8"/>
      <c r="B11" s="8"/>
      <c r="C11" s="8"/>
      <c r="D11" s="8"/>
      <c r="E11" s="8"/>
      <c r="F11" s="9"/>
      <c r="G11" s="9"/>
      <c r="H11" s="9"/>
      <c r="I11" s="9"/>
      <c r="J11" s="9"/>
      <c r="K11" s="25"/>
      <c r="N11" s="70"/>
      <c r="O11" s="71"/>
    </row>
    <row r="12" spans="1:15" x14ac:dyDescent="0.25">
      <c r="A12" s="8"/>
      <c r="B12" s="8"/>
      <c r="C12" s="8"/>
      <c r="D12" s="8"/>
      <c r="E12" s="8"/>
      <c r="F12" s="9"/>
      <c r="G12" s="9"/>
      <c r="H12" s="9"/>
      <c r="I12" s="9"/>
      <c r="J12" s="9"/>
      <c r="K12" s="25"/>
    </row>
    <row r="13" spans="1:15" x14ac:dyDescent="0.25">
      <c r="A13" s="7" t="s">
        <v>14</v>
      </c>
      <c r="B13" s="7"/>
      <c r="C13" s="7"/>
      <c r="D13" s="7"/>
      <c r="E13" s="7"/>
      <c r="F13" s="11"/>
      <c r="G13" s="10">
        <f>SUM(G9:G12)</f>
        <v>623880</v>
      </c>
      <c r="H13" s="11"/>
      <c r="I13" s="10">
        <f>SUM(I9:I12)</f>
        <v>623880</v>
      </c>
      <c r="J13" s="11"/>
      <c r="K13" s="26">
        <f>SUM(K9:K12)</f>
        <v>0</v>
      </c>
    </row>
    <row r="14" spans="1:15" x14ac:dyDescent="0.25">
      <c r="F14" s="2"/>
      <c r="G14" s="2"/>
      <c r="H14" s="2"/>
      <c r="I14" s="2"/>
      <c r="J14" s="2"/>
      <c r="K14" s="27"/>
    </row>
    <row r="15" spans="1:15" x14ac:dyDescent="0.25">
      <c r="A15" s="7" t="s">
        <v>31</v>
      </c>
      <c r="B15" s="8"/>
      <c r="C15" s="8"/>
      <c r="D15" s="8"/>
      <c r="E15" s="8"/>
      <c r="F15" s="7"/>
      <c r="G15" s="7" t="s">
        <v>0</v>
      </c>
      <c r="H15" s="7"/>
      <c r="I15" s="7" t="s">
        <v>1</v>
      </c>
      <c r="J15" s="7"/>
      <c r="K15" s="18" t="s">
        <v>53</v>
      </c>
      <c r="N15" s="72"/>
    </row>
    <row r="16" spans="1:15" x14ac:dyDescent="0.25">
      <c r="A16" s="8"/>
      <c r="B16" s="18" t="s">
        <v>12</v>
      </c>
      <c r="C16" s="19" t="s">
        <v>29</v>
      </c>
      <c r="D16" s="8" t="s">
        <v>8</v>
      </c>
      <c r="E16" s="8"/>
      <c r="F16" s="9"/>
      <c r="G16" s="32" t="s">
        <v>55</v>
      </c>
      <c r="H16" s="9"/>
      <c r="I16" s="32" t="s">
        <v>55</v>
      </c>
      <c r="J16" s="9"/>
      <c r="K16" s="25"/>
      <c r="M16" s="39"/>
      <c r="N16" s="72"/>
      <c r="O16" s="72"/>
    </row>
    <row r="17" spans="1:15" x14ac:dyDescent="0.25">
      <c r="A17" s="8" t="s">
        <v>56</v>
      </c>
      <c r="B17" s="8">
        <v>6</v>
      </c>
      <c r="C17" s="12">
        <v>0.4</v>
      </c>
      <c r="D17" s="8">
        <v>35</v>
      </c>
      <c r="E17" s="8" t="s">
        <v>11</v>
      </c>
      <c r="F17" s="9"/>
      <c r="G17" s="9">
        <f>(B17*D17*C17*4*28)/6*5</f>
        <v>7840</v>
      </c>
      <c r="H17" s="9"/>
      <c r="I17" s="9"/>
      <c r="J17" s="9"/>
      <c r="K17" s="25">
        <f>B17*C17*D17*4*28</f>
        <v>9408.0000000000018</v>
      </c>
      <c r="M17" s="39"/>
      <c r="N17" s="39"/>
      <c r="O17" s="39"/>
    </row>
    <row r="18" spans="1:15" x14ac:dyDescent="0.25">
      <c r="A18" s="8" t="s">
        <v>57</v>
      </c>
      <c r="B18" s="8">
        <v>6</v>
      </c>
      <c r="C18" s="12">
        <v>0.4</v>
      </c>
      <c r="D18" s="8">
        <v>25</v>
      </c>
      <c r="E18" s="8" t="s">
        <v>11</v>
      </c>
      <c r="F18" s="9"/>
      <c r="G18" s="9">
        <f>(B18*D18*C18*4*28)/6*5</f>
        <v>5600</v>
      </c>
      <c r="H18" s="9"/>
      <c r="I18" s="9"/>
      <c r="J18" s="9"/>
      <c r="K18" s="25">
        <f>B18*C18*D18*4*28</f>
        <v>6720.0000000000009</v>
      </c>
      <c r="M18" s="39"/>
      <c r="N18" s="39"/>
      <c r="O18" s="39"/>
    </row>
    <row r="19" spans="1:15" x14ac:dyDescent="0.25">
      <c r="A19" s="8" t="s">
        <v>28</v>
      </c>
      <c r="B19" s="8">
        <v>6</v>
      </c>
      <c r="C19" s="12">
        <v>0.5</v>
      </c>
      <c r="D19" s="8">
        <v>500</v>
      </c>
      <c r="E19" s="8" t="s">
        <v>9</v>
      </c>
      <c r="F19" s="9"/>
      <c r="G19" s="9">
        <f>(B19*D19*C19)/6*5</f>
        <v>1250</v>
      </c>
      <c r="H19" s="9"/>
      <c r="I19" s="9"/>
      <c r="J19" s="9"/>
      <c r="K19" s="25">
        <f>B19*D19*C19</f>
        <v>1500</v>
      </c>
      <c r="M19" s="39"/>
      <c r="N19" s="39"/>
      <c r="O19" s="39"/>
    </row>
    <row r="20" spans="1:15" x14ac:dyDescent="0.25">
      <c r="A20" s="8" t="s">
        <v>3</v>
      </c>
      <c r="B20" s="8">
        <v>10</v>
      </c>
      <c r="C20" s="8"/>
      <c r="D20" s="8">
        <v>4</v>
      </c>
      <c r="E20" s="8" t="s">
        <v>10</v>
      </c>
      <c r="F20" s="9"/>
      <c r="G20" s="9">
        <f>(B20*D20*4*28)/6*5</f>
        <v>3733.333333333333</v>
      </c>
      <c r="H20" s="9"/>
      <c r="I20" s="9"/>
      <c r="J20" s="9"/>
      <c r="K20" s="25">
        <f>B20*D20*4*28</f>
        <v>4480</v>
      </c>
      <c r="M20" s="40"/>
      <c r="N20" s="40"/>
      <c r="O20" s="40"/>
    </row>
    <row r="21" spans="1:15" x14ac:dyDescent="0.25">
      <c r="A21" s="8" t="s">
        <v>4</v>
      </c>
      <c r="B21" s="8">
        <v>4</v>
      </c>
      <c r="C21" s="12">
        <v>0.75</v>
      </c>
      <c r="D21" s="8">
        <v>20</v>
      </c>
      <c r="E21" s="8" t="s">
        <v>11</v>
      </c>
      <c r="F21" s="9"/>
      <c r="G21" s="9">
        <f>(B21*D21*4.5*28*C21)/6*5</f>
        <v>6300</v>
      </c>
      <c r="H21" s="9"/>
      <c r="I21" s="9"/>
      <c r="J21" s="9"/>
      <c r="K21" s="25">
        <f>B21*D21*4.5*28*C21</f>
        <v>7560</v>
      </c>
      <c r="M21" s="39"/>
    </row>
    <row r="22" spans="1:15" x14ac:dyDescent="0.25">
      <c r="A22" s="8" t="s">
        <v>60</v>
      </c>
      <c r="B22" s="8">
        <v>12</v>
      </c>
      <c r="C22" s="12"/>
      <c r="D22" s="8">
        <v>5</v>
      </c>
      <c r="E22" s="8" t="s">
        <v>61</v>
      </c>
      <c r="F22" s="9"/>
      <c r="G22" s="9">
        <f>B22*D22*4*26/6*5</f>
        <v>5200</v>
      </c>
      <c r="H22" s="9"/>
      <c r="I22" s="9"/>
      <c r="J22" s="9"/>
      <c r="K22" s="9">
        <f>B22*D22*4*26</f>
        <v>6240</v>
      </c>
      <c r="M22" s="39"/>
    </row>
    <row r="23" spans="1:15" x14ac:dyDescent="0.25">
      <c r="A23" s="8" t="s">
        <v>44</v>
      </c>
      <c r="B23" s="8"/>
      <c r="C23" s="8"/>
      <c r="D23" s="8"/>
      <c r="E23" s="8"/>
      <c r="F23" s="9"/>
      <c r="G23" s="9"/>
      <c r="H23" s="9"/>
      <c r="I23" s="9">
        <v>12000</v>
      </c>
      <c r="J23" s="9"/>
      <c r="K23" s="25"/>
      <c r="N23" s="72"/>
    </row>
    <row r="24" spans="1:15" x14ac:dyDescent="0.25">
      <c r="A24" s="7" t="s">
        <v>13</v>
      </c>
      <c r="B24" s="8"/>
      <c r="C24" s="8"/>
      <c r="D24" s="8"/>
      <c r="E24" s="8"/>
      <c r="F24" s="11"/>
      <c r="G24" s="10">
        <f>SUM(G17:G23)</f>
        <v>29923.333333333332</v>
      </c>
      <c r="H24" s="11"/>
      <c r="I24" s="10">
        <f>SUM(I17:I23)</f>
        <v>12000</v>
      </c>
      <c r="J24" s="11"/>
      <c r="K24" s="26">
        <f>SUM(K17:K23)</f>
        <v>35908</v>
      </c>
      <c r="M24" s="39"/>
      <c r="N24" s="72"/>
      <c r="O24" s="72"/>
    </row>
    <row r="25" spans="1:15" x14ac:dyDescent="0.25">
      <c r="A25" s="8"/>
      <c r="B25" s="8"/>
      <c r="C25" s="8"/>
      <c r="D25" s="8"/>
      <c r="E25" s="8"/>
      <c r="F25" s="9"/>
      <c r="G25" s="9"/>
      <c r="H25" s="9"/>
      <c r="I25" s="9"/>
      <c r="J25" s="9"/>
      <c r="K25" s="25"/>
      <c r="M25" s="39"/>
      <c r="N25" s="39"/>
      <c r="O25" s="39"/>
    </row>
    <row r="26" spans="1:15" x14ac:dyDescent="0.25">
      <c r="A26" s="7" t="s">
        <v>32</v>
      </c>
      <c r="B26" s="8"/>
      <c r="C26" s="8"/>
      <c r="D26" s="8"/>
      <c r="E26" s="8"/>
      <c r="F26" s="7"/>
      <c r="G26" s="7" t="s">
        <v>0</v>
      </c>
      <c r="H26" s="7"/>
      <c r="I26" s="7" t="s">
        <v>1</v>
      </c>
      <c r="J26" s="7"/>
      <c r="K26" s="18" t="s">
        <v>53</v>
      </c>
      <c r="M26" s="39"/>
      <c r="N26" s="39"/>
      <c r="O26" s="39"/>
    </row>
    <row r="27" spans="1:15" x14ac:dyDescent="0.25">
      <c r="A27" s="8"/>
      <c r="B27" s="8"/>
      <c r="C27" s="8"/>
      <c r="D27" s="8"/>
      <c r="E27" s="8"/>
      <c r="F27" s="9"/>
      <c r="G27" s="9"/>
      <c r="H27" s="9"/>
      <c r="I27" s="9"/>
      <c r="J27" s="9"/>
      <c r="K27" s="25"/>
      <c r="M27" s="40"/>
      <c r="N27" s="40"/>
      <c r="O27" s="40"/>
    </row>
    <row r="28" spans="1:15" x14ac:dyDescent="0.25">
      <c r="A28" s="8" t="s">
        <v>15</v>
      </c>
      <c r="B28" s="13"/>
      <c r="C28" s="13"/>
      <c r="D28" s="8"/>
      <c r="E28" s="8"/>
      <c r="F28" s="9"/>
      <c r="G28" s="14">
        <f>((5*6*26)+(3*26))*10*1.12</f>
        <v>9609.6</v>
      </c>
      <c r="H28" s="9"/>
      <c r="I28" s="14"/>
      <c r="J28" s="9"/>
      <c r="K28" s="28"/>
    </row>
    <row r="29" spans="1:15" x14ac:dyDescent="0.25">
      <c r="A29" s="8" t="s">
        <v>44</v>
      </c>
      <c r="B29" s="13"/>
      <c r="C29" s="13"/>
      <c r="D29" s="8"/>
      <c r="E29" s="8"/>
      <c r="F29" s="9"/>
      <c r="G29" s="14">
        <v>1000</v>
      </c>
      <c r="H29" s="9"/>
      <c r="I29" s="14"/>
      <c r="J29" s="9"/>
      <c r="K29" s="28">
        <v>12000</v>
      </c>
      <c r="N29" s="72"/>
    </row>
    <row r="30" spans="1:15" x14ac:dyDescent="0.25">
      <c r="A30" s="8" t="s">
        <v>26</v>
      </c>
      <c r="B30" s="13"/>
      <c r="C30" s="13"/>
      <c r="D30" s="8"/>
      <c r="E30" s="8"/>
      <c r="F30" s="9"/>
      <c r="G30" s="14">
        <f>1*6*26*10*1.12</f>
        <v>1747.2000000000003</v>
      </c>
      <c r="H30" s="9"/>
      <c r="I30" s="14"/>
      <c r="J30" s="9"/>
      <c r="K30" s="28">
        <f>1*6*26*10*1.12</f>
        <v>1747.2000000000003</v>
      </c>
      <c r="M30" s="39"/>
      <c r="N30" s="72"/>
      <c r="O30" s="72"/>
    </row>
    <row r="31" spans="1:15" x14ac:dyDescent="0.25">
      <c r="A31" s="8" t="s">
        <v>16</v>
      </c>
      <c r="B31" s="13"/>
      <c r="C31" s="13"/>
      <c r="D31" s="8"/>
      <c r="E31" s="8"/>
      <c r="F31" s="9"/>
      <c r="G31" s="14">
        <v>2500</v>
      </c>
      <c r="H31" s="9"/>
      <c r="I31" s="14">
        <v>2500</v>
      </c>
      <c r="J31" s="9"/>
      <c r="K31" s="28"/>
      <c r="M31" s="39"/>
      <c r="N31" s="39"/>
      <c r="O31" s="39"/>
    </row>
    <row r="32" spans="1:15" x14ac:dyDescent="0.25">
      <c r="A32" s="8" t="s">
        <v>34</v>
      </c>
      <c r="B32" s="13"/>
      <c r="C32" s="13"/>
      <c r="D32" s="8"/>
      <c r="E32" s="8"/>
      <c r="F32" s="9"/>
      <c r="G32" s="14">
        <v>2500</v>
      </c>
      <c r="H32" s="9"/>
      <c r="I32" s="14">
        <v>2500</v>
      </c>
      <c r="J32" s="9"/>
      <c r="K32" s="28"/>
      <c r="M32" s="39"/>
      <c r="N32" s="39"/>
      <c r="O32" s="39"/>
    </row>
    <row r="33" spans="1:15" x14ac:dyDescent="0.25">
      <c r="A33" s="8" t="s">
        <v>17</v>
      </c>
      <c r="B33" s="13"/>
      <c r="C33" s="13"/>
      <c r="D33" s="8"/>
      <c r="E33" s="8"/>
      <c r="F33" s="9"/>
      <c r="G33" s="14">
        <v>240</v>
      </c>
      <c r="H33" s="9"/>
      <c r="I33" s="14"/>
      <c r="J33" s="9"/>
      <c r="K33" s="28">
        <v>240</v>
      </c>
      <c r="M33" s="40"/>
      <c r="N33" s="40"/>
      <c r="O33" s="40"/>
    </row>
    <row r="34" spans="1:15" x14ac:dyDescent="0.25">
      <c r="A34" s="8" t="s">
        <v>18</v>
      </c>
      <c r="B34" s="13"/>
      <c r="C34" s="13"/>
      <c r="D34" s="8"/>
      <c r="E34" s="8"/>
      <c r="F34" s="9"/>
      <c r="G34" s="14">
        <v>1200</v>
      </c>
      <c r="H34" s="9"/>
      <c r="I34" s="14"/>
      <c r="J34" s="9"/>
      <c r="K34" s="28">
        <v>1200</v>
      </c>
    </row>
    <row r="35" spans="1:15" x14ac:dyDescent="0.25">
      <c r="A35" s="8" t="s">
        <v>33</v>
      </c>
      <c r="B35" s="13"/>
      <c r="C35" s="13"/>
      <c r="D35" s="8"/>
      <c r="E35" s="8"/>
      <c r="F35" s="9"/>
      <c r="G35" s="14">
        <v>2000</v>
      </c>
      <c r="H35" s="9"/>
      <c r="I35" s="14"/>
      <c r="J35" s="9"/>
      <c r="K35" s="28">
        <v>750</v>
      </c>
    </row>
    <row r="36" spans="1:15" x14ac:dyDescent="0.25">
      <c r="A36" s="8" t="s">
        <v>19</v>
      </c>
      <c r="B36" s="13"/>
      <c r="C36" s="13"/>
      <c r="D36" s="8"/>
      <c r="E36" s="8"/>
      <c r="F36" s="9"/>
      <c r="G36" s="14">
        <v>660</v>
      </c>
      <c r="H36" s="9"/>
      <c r="I36" s="14"/>
      <c r="J36" s="9"/>
      <c r="K36" s="28">
        <v>660</v>
      </c>
    </row>
    <row r="37" spans="1:15" x14ac:dyDescent="0.25">
      <c r="A37" s="8" t="s">
        <v>20</v>
      </c>
      <c r="B37" s="13"/>
      <c r="C37" s="13"/>
      <c r="D37" s="8"/>
      <c r="E37" s="8"/>
      <c r="F37" s="9"/>
      <c r="G37" s="14">
        <v>600</v>
      </c>
      <c r="H37" s="9"/>
      <c r="I37" s="14"/>
      <c r="J37" s="9"/>
      <c r="K37" s="28">
        <v>600</v>
      </c>
    </row>
    <row r="38" spans="1:15" x14ac:dyDescent="0.25">
      <c r="A38" s="8" t="s">
        <v>6</v>
      </c>
      <c r="B38" s="13"/>
      <c r="C38" s="13"/>
      <c r="D38" s="8"/>
      <c r="E38" s="8"/>
      <c r="F38" s="9"/>
      <c r="G38" s="14">
        <v>360</v>
      </c>
      <c r="H38" s="9"/>
      <c r="I38" s="14"/>
      <c r="J38" s="9"/>
      <c r="K38" s="28">
        <v>360</v>
      </c>
    </row>
    <row r="39" spans="1:15" x14ac:dyDescent="0.25">
      <c r="A39" s="8" t="s">
        <v>21</v>
      </c>
      <c r="B39" s="13"/>
      <c r="C39" s="13"/>
      <c r="D39" s="8"/>
      <c r="E39" s="8"/>
      <c r="F39" s="9"/>
      <c r="G39" s="14">
        <v>2000</v>
      </c>
      <c r="H39" s="9"/>
      <c r="I39" s="14"/>
      <c r="J39" s="9"/>
      <c r="K39" s="28">
        <v>2000</v>
      </c>
    </row>
    <row r="40" spans="1:15" x14ac:dyDescent="0.25">
      <c r="A40" s="8" t="s">
        <v>5</v>
      </c>
      <c r="B40" s="13"/>
      <c r="C40" s="13"/>
      <c r="D40" s="8"/>
      <c r="E40" s="8"/>
      <c r="F40" s="9"/>
      <c r="G40" s="14">
        <v>2000</v>
      </c>
      <c r="H40" s="9"/>
      <c r="I40" s="14">
        <v>2000</v>
      </c>
      <c r="J40" s="9"/>
      <c r="K40" s="28"/>
    </row>
    <row r="41" spans="1:15" x14ac:dyDescent="0.25">
      <c r="A41" s="8" t="s">
        <v>22</v>
      </c>
      <c r="B41" s="13"/>
      <c r="C41" s="13"/>
      <c r="D41" s="8"/>
      <c r="E41" s="8"/>
      <c r="F41" s="9"/>
      <c r="G41" s="8"/>
      <c r="H41" s="9"/>
      <c r="I41" s="8"/>
      <c r="J41" s="9"/>
      <c r="K41" s="24"/>
    </row>
    <row r="42" spans="1:15" x14ac:dyDescent="0.25">
      <c r="A42" s="8" t="s">
        <v>23</v>
      </c>
      <c r="B42" s="13"/>
      <c r="C42" s="13"/>
      <c r="D42" s="8"/>
      <c r="E42" s="8"/>
      <c r="F42" s="9"/>
      <c r="G42" s="14">
        <f>G24*0.01</f>
        <v>299.23333333333335</v>
      </c>
      <c r="H42" s="9"/>
      <c r="I42" s="14">
        <f>I24*0.01</f>
        <v>120</v>
      </c>
      <c r="J42" s="9"/>
      <c r="K42" s="28">
        <f>K24*0.01</f>
        <v>359.08</v>
      </c>
    </row>
    <row r="43" spans="1:15" x14ac:dyDescent="0.25">
      <c r="A43" s="8" t="s">
        <v>7</v>
      </c>
      <c r="B43" s="13"/>
      <c r="C43" s="13"/>
      <c r="D43" s="8"/>
      <c r="E43" s="8"/>
      <c r="F43" s="9"/>
      <c r="G43" s="14">
        <v>500</v>
      </c>
      <c r="H43" s="9"/>
      <c r="I43" s="14">
        <v>500</v>
      </c>
      <c r="J43" s="9"/>
      <c r="K43" s="28">
        <v>500</v>
      </c>
    </row>
    <row r="44" spans="1:15" x14ac:dyDescent="0.25">
      <c r="A44" s="8" t="s">
        <v>7</v>
      </c>
      <c r="B44" s="13"/>
      <c r="C44" s="13"/>
      <c r="D44" s="8"/>
      <c r="E44" s="8"/>
      <c r="F44" s="9"/>
      <c r="G44" s="8"/>
      <c r="H44" s="9"/>
      <c r="I44" s="8"/>
      <c r="J44" s="9"/>
      <c r="K44" s="24"/>
    </row>
    <row r="45" spans="1:15" x14ac:dyDescent="0.25">
      <c r="A45" s="7" t="s">
        <v>24</v>
      </c>
      <c r="B45" s="15"/>
      <c r="C45" s="15"/>
      <c r="D45" s="7"/>
      <c r="E45" s="7"/>
      <c r="F45" s="11"/>
      <c r="G45" s="16">
        <f>SUM(G28:G44)</f>
        <v>27216.033333333336</v>
      </c>
      <c r="H45" s="11"/>
      <c r="I45" s="16">
        <f>SUM(I28:I44)</f>
        <v>7620</v>
      </c>
      <c r="J45" s="11"/>
      <c r="K45" s="29">
        <f>SUM(K28:K44)</f>
        <v>20416.280000000002</v>
      </c>
    </row>
    <row r="46" spans="1:15" x14ac:dyDescent="0.25">
      <c r="A46" s="8"/>
      <c r="B46" s="8"/>
      <c r="C46" s="8"/>
      <c r="D46" s="8"/>
      <c r="E46" s="8"/>
      <c r="F46" s="9"/>
      <c r="G46" s="9"/>
      <c r="H46" s="9"/>
      <c r="I46" s="8"/>
      <c r="J46" s="9"/>
      <c r="K46" s="25"/>
    </row>
    <row r="47" spans="1:15" x14ac:dyDescent="0.25">
      <c r="A47" s="7" t="s">
        <v>25</v>
      </c>
      <c r="B47" s="8"/>
      <c r="C47" s="8"/>
      <c r="D47" s="8"/>
      <c r="E47" s="8"/>
      <c r="F47" s="11"/>
      <c r="G47" s="73">
        <f>G24-G45</f>
        <v>2707.2999999999956</v>
      </c>
      <c r="H47" s="11"/>
      <c r="I47" s="17">
        <f>I24-I45</f>
        <v>4380</v>
      </c>
      <c r="J47" s="11"/>
      <c r="K47" s="30">
        <f>K24-K45</f>
        <v>15491.719999999998</v>
      </c>
    </row>
    <row r="48" spans="1:15" x14ac:dyDescent="0.25">
      <c r="F48" s="2"/>
      <c r="G48" s="2"/>
      <c r="H48" s="2"/>
      <c r="J48" s="2"/>
      <c r="K48" s="27"/>
    </row>
    <row r="49" spans="1:11" x14ac:dyDescent="0.25">
      <c r="A49" s="5" t="s">
        <v>27</v>
      </c>
      <c r="F49" s="2"/>
      <c r="G49" s="6">
        <f>G47/G13</f>
        <v>4.3394563056998068E-3</v>
      </c>
      <c r="H49" s="2"/>
      <c r="I49" s="6">
        <f>I47/I13</f>
        <v>7.0205808809386417E-3</v>
      </c>
      <c r="J49" s="2"/>
      <c r="K49" s="31"/>
    </row>
    <row r="50" spans="1:11" x14ac:dyDescent="0.25">
      <c r="F50" s="2"/>
      <c r="G50" s="2"/>
      <c r="H50" s="2"/>
      <c r="J50" s="2"/>
      <c r="K50" s="23"/>
    </row>
    <row r="51" spans="1:11" x14ac:dyDescent="0.25">
      <c r="F51" s="2"/>
      <c r="G51" s="2"/>
      <c r="H51" s="2"/>
      <c r="I51" s="2"/>
      <c r="J51" s="2"/>
      <c r="K51" s="27"/>
    </row>
    <row r="52" spans="1:11" ht="15.75" hidden="1" x14ac:dyDescent="0.25">
      <c r="A52" s="20" t="s">
        <v>35</v>
      </c>
      <c r="F52" s="2"/>
      <c r="G52" s="2"/>
      <c r="H52" s="2"/>
      <c r="I52" s="2"/>
      <c r="J52" s="2"/>
      <c r="K52" s="27"/>
    </row>
    <row r="53" spans="1:11" hidden="1" x14ac:dyDescent="0.25">
      <c r="F53" s="2"/>
      <c r="G53" s="2"/>
      <c r="H53" s="2"/>
      <c r="I53" s="2"/>
      <c r="J53" s="2"/>
      <c r="K53" s="27"/>
    </row>
    <row r="54" spans="1:11" ht="32.25" hidden="1" customHeight="1" x14ac:dyDescent="0.25">
      <c r="A54" s="81" t="s">
        <v>36</v>
      </c>
      <c r="B54" s="81"/>
      <c r="C54" s="81"/>
      <c r="D54" s="81"/>
      <c r="E54" s="81"/>
      <c r="F54" s="81"/>
      <c r="G54" s="81"/>
      <c r="H54" s="2"/>
      <c r="I54" s="2"/>
      <c r="J54" s="2"/>
      <c r="K54" s="27"/>
    </row>
    <row r="55" spans="1:11" ht="15.75" hidden="1" x14ac:dyDescent="0.25">
      <c r="A55" s="81" t="s">
        <v>37</v>
      </c>
      <c r="B55" s="81"/>
      <c r="C55" s="81"/>
      <c r="D55" s="81"/>
      <c r="E55" s="81"/>
      <c r="F55" s="81"/>
      <c r="G55" s="81"/>
      <c r="H55" s="2"/>
      <c r="I55" s="2"/>
      <c r="J55" s="2"/>
      <c r="K55" s="27"/>
    </row>
    <row r="56" spans="1:11" ht="48" hidden="1" customHeight="1" x14ac:dyDescent="0.25">
      <c r="A56" s="81" t="s">
        <v>38</v>
      </c>
      <c r="B56" s="81"/>
      <c r="C56" s="81"/>
      <c r="D56" s="81"/>
      <c r="E56" s="81"/>
      <c r="F56" s="81"/>
      <c r="G56" s="81"/>
      <c r="H56" s="2"/>
      <c r="I56" s="2"/>
      <c r="J56" s="2"/>
      <c r="K56" s="27"/>
    </row>
    <row r="57" spans="1:11" ht="32.25" hidden="1" customHeight="1" x14ac:dyDescent="0.25">
      <c r="A57" s="81" t="s">
        <v>39</v>
      </c>
      <c r="B57" s="81"/>
      <c r="C57" s="81"/>
      <c r="D57" s="81"/>
      <c r="E57" s="81"/>
      <c r="F57" s="81"/>
      <c r="G57" s="81"/>
      <c r="H57" s="2"/>
      <c r="I57" s="2"/>
      <c r="J57" s="2"/>
      <c r="K57" s="27"/>
    </row>
    <row r="58" spans="1:11" ht="15.75" hidden="1" x14ac:dyDescent="0.25">
      <c r="A58" s="81" t="s">
        <v>40</v>
      </c>
      <c r="B58" s="81"/>
      <c r="C58" s="81"/>
      <c r="D58" s="81"/>
      <c r="E58" s="81"/>
      <c r="F58" s="81"/>
      <c r="G58" s="81"/>
      <c r="H58" s="2"/>
      <c r="I58" s="2"/>
      <c r="J58" s="2"/>
      <c r="K58" s="27"/>
    </row>
    <row r="59" spans="1:11" ht="15.75" hidden="1" x14ac:dyDescent="0.25">
      <c r="A59" s="81" t="s">
        <v>41</v>
      </c>
      <c r="B59" s="81"/>
      <c r="C59" s="81"/>
      <c r="D59" s="81"/>
      <c r="E59" s="81"/>
      <c r="F59" s="81"/>
      <c r="G59" s="81"/>
      <c r="H59" s="2"/>
      <c r="I59" s="2"/>
      <c r="J59" s="2"/>
      <c r="K59" s="27"/>
    </row>
    <row r="60" spans="1:11" ht="33" hidden="1" customHeight="1" x14ac:dyDescent="0.25">
      <c r="A60" s="81" t="s">
        <v>42</v>
      </c>
      <c r="B60" s="81"/>
      <c r="C60" s="81"/>
      <c r="D60" s="81"/>
      <c r="E60" s="81"/>
      <c r="F60" s="81"/>
      <c r="G60" s="81"/>
      <c r="H60" s="2"/>
      <c r="I60" s="2"/>
      <c r="J60" s="2"/>
      <c r="K60" s="27"/>
    </row>
    <row r="61" spans="1:11" ht="30" hidden="1" customHeight="1" x14ac:dyDescent="0.25">
      <c r="A61" s="81" t="s">
        <v>43</v>
      </c>
      <c r="B61" s="81"/>
      <c r="C61" s="81"/>
      <c r="D61" s="81"/>
      <c r="E61" s="81"/>
      <c r="F61" s="81"/>
      <c r="G61" s="81"/>
      <c r="H61" s="2"/>
      <c r="I61" s="2"/>
      <c r="J61" s="2"/>
      <c r="K61" s="27"/>
    </row>
    <row r="62" spans="1:11" x14ac:dyDescent="0.25">
      <c r="F62" s="2"/>
      <c r="G62" s="2"/>
      <c r="H62" s="2"/>
      <c r="I62" s="2"/>
      <c r="J62" s="2"/>
      <c r="K62" s="27"/>
    </row>
    <row r="63" spans="1:11" x14ac:dyDescent="0.25">
      <c r="F63" s="2"/>
      <c r="G63" s="2"/>
      <c r="H63" s="2"/>
      <c r="I63" s="2"/>
      <c r="J63" s="2"/>
      <c r="K63" s="27"/>
    </row>
    <row r="64" spans="1:11" x14ac:dyDescent="0.25">
      <c r="F64" s="2"/>
      <c r="G64" s="2"/>
      <c r="H64" s="2"/>
      <c r="I64" s="2"/>
      <c r="J64" s="2"/>
      <c r="K64" s="27"/>
    </row>
    <row r="65" spans="6:11" x14ac:dyDescent="0.25">
      <c r="F65" s="2"/>
      <c r="G65" s="2"/>
      <c r="H65" s="2"/>
      <c r="I65" s="2"/>
      <c r="J65" s="2"/>
      <c r="K65" s="27"/>
    </row>
    <row r="66" spans="6:11" x14ac:dyDescent="0.25">
      <c r="F66" s="2"/>
      <c r="G66" s="2"/>
      <c r="H66" s="2"/>
      <c r="I66" s="2"/>
      <c r="J66" s="2"/>
      <c r="K66" s="27"/>
    </row>
    <row r="67" spans="6:11" x14ac:dyDescent="0.25">
      <c r="F67" s="2"/>
      <c r="G67" s="2"/>
      <c r="H67" s="2"/>
      <c r="I67" s="2"/>
      <c r="J67" s="2"/>
      <c r="K67" s="23"/>
    </row>
    <row r="68" spans="6:11" x14ac:dyDescent="0.25">
      <c r="F68" s="2"/>
      <c r="G68" s="2"/>
      <c r="H68" s="2"/>
      <c r="I68" s="2"/>
      <c r="J68" s="2"/>
      <c r="K68" s="23"/>
    </row>
    <row r="69" spans="6:11" x14ac:dyDescent="0.25">
      <c r="F69" s="2"/>
      <c r="G69" s="2"/>
      <c r="H69" s="2"/>
      <c r="I69" s="2"/>
      <c r="J69" s="2"/>
    </row>
    <row r="70" spans="6:11" x14ac:dyDescent="0.25">
      <c r="F70" s="2"/>
      <c r="G70" s="2"/>
      <c r="H70" s="2"/>
      <c r="I70" s="2"/>
      <c r="J70" s="2"/>
    </row>
    <row r="71" spans="6:11" x14ac:dyDescent="0.25">
      <c r="F71" s="2"/>
      <c r="G71" s="2"/>
      <c r="H71" s="2"/>
      <c r="I71" s="2"/>
      <c r="J71" s="2"/>
    </row>
    <row r="72" spans="6:11" x14ac:dyDescent="0.25">
      <c r="F72" s="2"/>
      <c r="G72" s="2"/>
      <c r="H72" s="2"/>
      <c r="I72" s="2"/>
      <c r="J72" s="2"/>
    </row>
  </sheetData>
  <mergeCells count="9">
    <mergeCell ref="A59:G59"/>
    <mergeCell ref="A60:G60"/>
    <mergeCell ref="A61:G61"/>
    <mergeCell ref="N8:O8"/>
    <mergeCell ref="A54:G54"/>
    <mergeCell ref="A55:G55"/>
    <mergeCell ref="A56:G56"/>
    <mergeCell ref="A57:G57"/>
    <mergeCell ref="A58:G58"/>
  </mergeCells>
  <pageMargins left="0.70866141732283472" right="0.70866141732283472" top="0.74803149606299213" bottom="0.74803149606299213" header="0.31496062992125984" footer="0.31496062992125984"/>
  <pageSetup paperSize="9" scale="74" orientation="portrait" verticalDpi="0" r:id="rId1"/>
  <rowBreaks count="1" manualBreakCount="1">
    <brk id="5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DE76-3F5B-4DD2-8E4C-866B8E6D8C6F}">
  <sheetPr>
    <pageSetUpPr fitToPage="1"/>
  </sheetPr>
  <dimension ref="A1:O72"/>
  <sheetViews>
    <sheetView topLeftCell="A13" zoomScaleNormal="100" workbookViewId="0">
      <selection activeCell="G30" sqref="G30"/>
    </sheetView>
  </sheetViews>
  <sheetFormatPr defaultRowHeight="15" x14ac:dyDescent="0.25"/>
  <cols>
    <col min="1" max="1" width="32.42578125" style="4" customWidth="1"/>
    <col min="2" max="2" width="9.28515625" style="4" customWidth="1"/>
    <col min="3" max="3" width="11.140625" style="4" customWidth="1"/>
    <col min="4" max="4" width="8.28515625" style="4" customWidth="1"/>
    <col min="5" max="5" width="10.42578125" style="4" customWidth="1"/>
    <col min="6" max="6" width="3.85546875" style="4" customWidth="1"/>
    <col min="7" max="7" width="10.5703125" style="4" bestFit="1" customWidth="1"/>
    <col min="8" max="8" width="5.42578125" style="4" customWidth="1"/>
    <col min="9" max="9" width="9.140625" style="4"/>
    <col min="10" max="10" width="5.5703125" style="4" customWidth="1"/>
    <col min="11" max="11" width="11.28515625" style="4" customWidth="1"/>
    <col min="12" max="12" width="9.140625" style="4"/>
    <col min="13" max="13" width="19" style="4" customWidth="1"/>
    <col min="14" max="14" width="9.85546875" style="4" customWidth="1"/>
    <col min="15" max="15" width="10.42578125" style="4" customWidth="1"/>
    <col min="16" max="16384" width="9.140625" style="4"/>
  </cols>
  <sheetData>
    <row r="1" spans="1:15" x14ac:dyDescent="0.25">
      <c r="A1" s="5" t="s">
        <v>47</v>
      </c>
      <c r="B1" s="5"/>
      <c r="C1" s="5"/>
      <c r="D1" s="5"/>
      <c r="M1" s="33"/>
      <c r="N1" s="33"/>
      <c r="O1" s="33"/>
    </row>
    <row r="2" spans="1:15" x14ac:dyDescent="0.25">
      <c r="A2" s="5" t="s">
        <v>58</v>
      </c>
      <c r="M2" s="33"/>
      <c r="N2" s="33"/>
      <c r="O2" s="33"/>
    </row>
    <row r="3" spans="1:15" x14ac:dyDescent="0.25">
      <c r="M3" s="33"/>
      <c r="N3" s="33"/>
      <c r="O3" s="33"/>
    </row>
    <row r="4" spans="1:15" x14ac:dyDescent="0.25">
      <c r="F4" s="5"/>
      <c r="G4" s="5" t="s">
        <v>0</v>
      </c>
      <c r="H4" s="5"/>
      <c r="I4" s="5" t="s">
        <v>1</v>
      </c>
      <c r="J4" s="5"/>
      <c r="K4" s="21" t="s">
        <v>53</v>
      </c>
      <c r="M4" s="33"/>
      <c r="N4" s="33"/>
      <c r="O4" s="33"/>
    </row>
    <row r="5" spans="1:15" x14ac:dyDescent="0.25">
      <c r="F5" s="5"/>
      <c r="G5" s="3" t="s">
        <v>45</v>
      </c>
      <c r="H5" s="5"/>
      <c r="I5" s="3" t="s">
        <v>49</v>
      </c>
      <c r="J5" s="5"/>
      <c r="K5" s="22" t="s">
        <v>51</v>
      </c>
      <c r="M5" s="33"/>
      <c r="N5" s="33"/>
      <c r="O5" s="33"/>
    </row>
    <row r="6" spans="1:15" x14ac:dyDescent="0.25">
      <c r="F6" s="5"/>
      <c r="G6" s="3" t="s">
        <v>46</v>
      </c>
      <c r="H6" s="5"/>
      <c r="I6" s="3" t="s">
        <v>50</v>
      </c>
      <c r="J6" s="5"/>
      <c r="K6" s="22" t="s">
        <v>52</v>
      </c>
      <c r="M6" s="33"/>
      <c r="N6" s="33"/>
      <c r="O6" s="33"/>
    </row>
    <row r="7" spans="1:15" x14ac:dyDescent="0.25">
      <c r="K7" s="22" t="s">
        <v>54</v>
      </c>
      <c r="M7" s="33"/>
      <c r="N7" s="33"/>
      <c r="O7" s="33"/>
    </row>
    <row r="8" spans="1:15" x14ac:dyDescent="0.25">
      <c r="A8" s="7" t="s">
        <v>30</v>
      </c>
      <c r="B8" s="8"/>
      <c r="C8" s="8"/>
      <c r="D8" s="8"/>
      <c r="E8" s="8"/>
      <c r="F8" s="8"/>
      <c r="G8" s="8"/>
      <c r="H8" s="8"/>
      <c r="I8" s="8"/>
      <c r="J8" s="8"/>
      <c r="K8" s="24"/>
      <c r="M8" s="33"/>
      <c r="N8" s="80"/>
      <c r="O8" s="80"/>
    </row>
    <row r="9" spans="1:15" x14ac:dyDescent="0.25">
      <c r="A9" s="8" t="s">
        <v>2</v>
      </c>
      <c r="B9" s="8"/>
      <c r="C9" s="8"/>
      <c r="D9" s="8"/>
      <c r="E9" s="8"/>
      <c r="F9" s="9"/>
      <c r="G9" s="9">
        <f>449900</f>
        <v>449900</v>
      </c>
      <c r="H9" s="9"/>
      <c r="I9" s="9">
        <f>449900</f>
        <v>449900</v>
      </c>
      <c r="J9" s="9"/>
      <c r="K9" s="25"/>
      <c r="M9" s="33"/>
      <c r="N9" s="34"/>
      <c r="O9" s="35"/>
    </row>
    <row r="10" spans="1:15" x14ac:dyDescent="0.25">
      <c r="A10" s="8" t="s">
        <v>48</v>
      </c>
      <c r="B10" s="8"/>
      <c r="C10" s="8"/>
      <c r="D10" s="8"/>
      <c r="E10" s="8"/>
      <c r="F10" s="9"/>
      <c r="G10" s="9">
        <f>G9*0.2</f>
        <v>89980</v>
      </c>
      <c r="H10" s="9"/>
      <c r="I10" s="9">
        <f>I9*0.2</f>
        <v>89980</v>
      </c>
      <c r="J10" s="9"/>
      <c r="K10" s="25"/>
      <c r="M10" s="33"/>
      <c r="N10" s="34"/>
      <c r="O10" s="35"/>
    </row>
    <row r="11" spans="1:15" x14ac:dyDescent="0.25">
      <c r="A11" s="8"/>
      <c r="B11" s="8"/>
      <c r="C11" s="8"/>
      <c r="D11" s="8"/>
      <c r="E11" s="8"/>
      <c r="F11" s="9"/>
      <c r="G11" s="9"/>
      <c r="H11" s="9"/>
      <c r="I11" s="9"/>
      <c r="J11" s="9"/>
      <c r="K11" s="25"/>
      <c r="M11" s="33"/>
      <c r="N11" s="36"/>
      <c r="O11" s="37"/>
    </row>
    <row r="12" spans="1:15" x14ac:dyDescent="0.25">
      <c r="A12" s="8"/>
      <c r="B12" s="8"/>
      <c r="C12" s="8"/>
      <c r="D12" s="8"/>
      <c r="E12" s="8"/>
      <c r="F12" s="9"/>
      <c r="G12" s="9"/>
      <c r="H12" s="9"/>
      <c r="I12" s="9"/>
      <c r="J12" s="9"/>
      <c r="K12" s="25"/>
      <c r="M12" s="33"/>
      <c r="N12" s="33"/>
      <c r="O12" s="33"/>
    </row>
    <row r="13" spans="1:15" x14ac:dyDescent="0.25">
      <c r="A13" s="7" t="s">
        <v>14</v>
      </c>
      <c r="B13" s="7"/>
      <c r="C13" s="7"/>
      <c r="D13" s="7"/>
      <c r="E13" s="7"/>
      <c r="F13" s="11"/>
      <c r="G13" s="10">
        <f>SUM(G9:G12)</f>
        <v>539880</v>
      </c>
      <c r="H13" s="11"/>
      <c r="I13" s="10">
        <f>SUM(I9:I12)</f>
        <v>539880</v>
      </c>
      <c r="J13" s="11"/>
      <c r="K13" s="26">
        <f>SUM(K9:K12)</f>
        <v>0</v>
      </c>
      <c r="M13" s="33"/>
      <c r="N13" s="33"/>
      <c r="O13" s="33"/>
    </row>
    <row r="14" spans="1:15" x14ac:dyDescent="0.25">
      <c r="F14" s="2"/>
      <c r="G14" s="2"/>
      <c r="H14" s="2"/>
      <c r="I14" s="2"/>
      <c r="J14" s="2"/>
      <c r="K14" s="27"/>
      <c r="M14" s="33"/>
      <c r="N14" s="33"/>
      <c r="O14" s="33"/>
    </row>
    <row r="15" spans="1:15" x14ac:dyDescent="0.25">
      <c r="A15" s="7" t="s">
        <v>31</v>
      </c>
      <c r="B15" s="8"/>
      <c r="C15" s="8"/>
      <c r="D15" s="8"/>
      <c r="E15" s="8"/>
      <c r="F15" s="7"/>
      <c r="G15" s="7" t="s">
        <v>0</v>
      </c>
      <c r="H15" s="7"/>
      <c r="I15" s="7" t="s">
        <v>1</v>
      </c>
      <c r="J15" s="7"/>
      <c r="K15" s="18" t="s">
        <v>53</v>
      </c>
      <c r="M15" s="33"/>
      <c r="N15" s="38"/>
      <c r="O15" s="33"/>
    </row>
    <row r="16" spans="1:15" x14ac:dyDescent="0.25">
      <c r="A16" s="8"/>
      <c r="B16" s="18" t="s">
        <v>12</v>
      </c>
      <c r="C16" s="19" t="s">
        <v>29</v>
      </c>
      <c r="D16" s="8" t="s">
        <v>8</v>
      </c>
      <c r="E16" s="8"/>
      <c r="F16" s="9"/>
      <c r="G16" s="32" t="s">
        <v>55</v>
      </c>
      <c r="H16" s="9"/>
      <c r="I16" s="32" t="s">
        <v>55</v>
      </c>
      <c r="J16" s="9"/>
      <c r="K16" s="25"/>
      <c r="M16" s="39"/>
      <c r="N16" s="38"/>
      <c r="O16" s="38"/>
    </row>
    <row r="17" spans="1:15" x14ac:dyDescent="0.25">
      <c r="A17" s="8" t="s">
        <v>56</v>
      </c>
      <c r="B17" s="8">
        <v>3</v>
      </c>
      <c r="C17" s="12">
        <v>0.5</v>
      </c>
      <c r="D17" s="8">
        <v>35</v>
      </c>
      <c r="E17" s="8" t="s">
        <v>11</v>
      </c>
      <c r="F17" s="9"/>
      <c r="G17" s="9">
        <f>(B17*D17*C17*4*28)/6*5</f>
        <v>4900</v>
      </c>
      <c r="H17" s="9"/>
      <c r="I17" s="9"/>
      <c r="J17" s="9"/>
      <c r="K17" s="25">
        <f>B17*C17*D17*4*28</f>
        <v>5880</v>
      </c>
      <c r="M17" s="39"/>
      <c r="N17" s="39"/>
      <c r="O17" s="39"/>
    </row>
    <row r="18" spans="1:15" x14ac:dyDescent="0.25">
      <c r="A18" s="8" t="s">
        <v>57</v>
      </c>
      <c r="B18" s="8">
        <v>3</v>
      </c>
      <c r="C18" s="12">
        <v>0.5</v>
      </c>
      <c r="D18" s="8">
        <v>25</v>
      </c>
      <c r="E18" s="8" t="s">
        <v>11</v>
      </c>
      <c r="F18" s="9"/>
      <c r="G18" s="9">
        <f>(B18*D18*C18*4*28)/6*5</f>
        <v>3500</v>
      </c>
      <c r="H18" s="9"/>
      <c r="I18" s="9"/>
      <c r="J18" s="9"/>
      <c r="K18" s="25">
        <f>B18*C18*D18*4*28</f>
        <v>4200</v>
      </c>
      <c r="M18" s="39"/>
      <c r="N18" s="39"/>
      <c r="O18" s="39"/>
    </row>
    <row r="19" spans="1:15" x14ac:dyDescent="0.25">
      <c r="A19" s="8" t="s">
        <v>28</v>
      </c>
      <c r="B19" s="8">
        <v>6</v>
      </c>
      <c r="C19" s="12">
        <v>0.5</v>
      </c>
      <c r="D19" s="8">
        <v>500</v>
      </c>
      <c r="E19" s="8" t="s">
        <v>9</v>
      </c>
      <c r="F19" s="9"/>
      <c r="G19" s="9">
        <f>(B19*D19*C19)/6*5</f>
        <v>1250</v>
      </c>
      <c r="H19" s="9"/>
      <c r="I19" s="9"/>
      <c r="J19" s="9"/>
      <c r="K19" s="25">
        <f>B19*D19*C19</f>
        <v>1500</v>
      </c>
      <c r="M19" s="39"/>
      <c r="N19" s="39"/>
      <c r="O19" s="39"/>
    </row>
    <row r="20" spans="1:15" x14ac:dyDescent="0.25">
      <c r="A20" s="8" t="s">
        <v>3</v>
      </c>
      <c r="B20" s="8">
        <v>8</v>
      </c>
      <c r="C20" s="8"/>
      <c r="D20" s="8">
        <v>4</v>
      </c>
      <c r="E20" s="8" t="s">
        <v>10</v>
      </c>
      <c r="F20" s="9"/>
      <c r="G20" s="9">
        <f>(B20*D20*4*28)/6*5</f>
        <v>2986.666666666667</v>
      </c>
      <c r="H20" s="9"/>
      <c r="I20" s="9"/>
      <c r="J20" s="9"/>
      <c r="K20" s="25">
        <f>B20*D20*4*28</f>
        <v>3584</v>
      </c>
      <c r="M20" s="40"/>
      <c r="N20" s="40"/>
      <c r="O20" s="40"/>
    </row>
    <row r="21" spans="1:15" x14ac:dyDescent="0.25">
      <c r="A21" s="8" t="s">
        <v>4</v>
      </c>
      <c r="B21" s="8">
        <v>4</v>
      </c>
      <c r="C21" s="12">
        <v>0.75</v>
      </c>
      <c r="D21" s="8">
        <v>20</v>
      </c>
      <c r="E21" s="8" t="s">
        <v>11</v>
      </c>
      <c r="F21" s="9"/>
      <c r="G21" s="9">
        <f>(B21*D21*4.5*28*C21)/6*5</f>
        <v>6300</v>
      </c>
      <c r="H21" s="9"/>
      <c r="I21" s="9"/>
      <c r="J21" s="9"/>
      <c r="K21" s="25">
        <f>B21*D21*4.5*28*C21</f>
        <v>7560</v>
      </c>
      <c r="M21" s="39"/>
      <c r="N21" s="33"/>
      <c r="O21" s="33"/>
    </row>
    <row r="22" spans="1:15" x14ac:dyDescent="0.25">
      <c r="A22" s="8" t="s">
        <v>60</v>
      </c>
      <c r="B22" s="8">
        <v>12</v>
      </c>
      <c r="C22" s="12"/>
      <c r="D22" s="8">
        <v>5</v>
      </c>
      <c r="E22" s="8" t="s">
        <v>61</v>
      </c>
      <c r="F22" s="9"/>
      <c r="G22" s="9">
        <f>B22*D22*4*26/6*5</f>
        <v>5200</v>
      </c>
      <c r="H22" s="9"/>
      <c r="I22" s="9"/>
      <c r="J22" s="9"/>
      <c r="K22" s="9">
        <f>B22*D22*4*26</f>
        <v>6240</v>
      </c>
      <c r="M22" s="39"/>
      <c r="N22" s="33"/>
      <c r="O22" s="33"/>
    </row>
    <row r="23" spans="1:15" x14ac:dyDescent="0.25">
      <c r="A23" s="8" t="s">
        <v>44</v>
      </c>
      <c r="B23" s="8"/>
      <c r="C23" s="8"/>
      <c r="D23" s="8"/>
      <c r="E23" s="8"/>
      <c r="F23" s="9"/>
      <c r="G23" s="9"/>
      <c r="H23" s="9"/>
      <c r="I23" s="9">
        <v>10000</v>
      </c>
      <c r="J23" s="9"/>
      <c r="K23" s="25"/>
      <c r="M23" s="33"/>
      <c r="N23" s="38"/>
      <c r="O23" s="33"/>
    </row>
    <row r="24" spans="1:15" x14ac:dyDescent="0.25">
      <c r="A24" s="7" t="s">
        <v>13</v>
      </c>
      <c r="B24" s="8"/>
      <c r="C24" s="8"/>
      <c r="D24" s="8"/>
      <c r="E24" s="8"/>
      <c r="F24" s="11"/>
      <c r="G24" s="10">
        <f>SUM(G17:G23)</f>
        <v>24136.666666666668</v>
      </c>
      <c r="H24" s="11"/>
      <c r="I24" s="10">
        <f>SUM(I17:I23)</f>
        <v>10000</v>
      </c>
      <c r="J24" s="11"/>
      <c r="K24" s="26">
        <f>SUM(K17:K23)</f>
        <v>28964</v>
      </c>
      <c r="M24" s="39"/>
      <c r="N24" s="38"/>
      <c r="O24" s="38"/>
    </row>
    <row r="25" spans="1:15" x14ac:dyDescent="0.25">
      <c r="A25" s="8"/>
      <c r="B25" s="8"/>
      <c r="C25" s="8"/>
      <c r="D25" s="8"/>
      <c r="E25" s="8"/>
      <c r="F25" s="9"/>
      <c r="G25" s="9"/>
      <c r="H25" s="9"/>
      <c r="I25" s="9"/>
      <c r="J25" s="9"/>
      <c r="K25" s="25"/>
      <c r="M25" s="39"/>
      <c r="N25" s="39"/>
      <c r="O25" s="39"/>
    </row>
    <row r="26" spans="1:15" x14ac:dyDescent="0.25">
      <c r="A26" s="7" t="s">
        <v>32</v>
      </c>
      <c r="B26" s="8"/>
      <c r="C26" s="8"/>
      <c r="D26" s="8"/>
      <c r="E26" s="8"/>
      <c r="F26" s="7"/>
      <c r="G26" s="7" t="s">
        <v>0</v>
      </c>
      <c r="H26" s="7"/>
      <c r="I26" s="7" t="s">
        <v>1</v>
      </c>
      <c r="J26" s="7"/>
      <c r="K26" s="18" t="s">
        <v>53</v>
      </c>
      <c r="M26" s="39"/>
      <c r="N26" s="39"/>
      <c r="O26" s="39"/>
    </row>
    <row r="27" spans="1:15" x14ac:dyDescent="0.25">
      <c r="A27" s="8"/>
      <c r="B27" s="8"/>
      <c r="C27" s="8"/>
      <c r="D27" s="8"/>
      <c r="E27" s="8"/>
      <c r="F27" s="9"/>
      <c r="G27" s="9"/>
      <c r="H27" s="9"/>
      <c r="I27" s="9"/>
      <c r="J27" s="9"/>
      <c r="K27" s="25"/>
      <c r="M27" s="40"/>
      <c r="N27" s="40"/>
      <c r="O27" s="40"/>
    </row>
    <row r="28" spans="1:15" x14ac:dyDescent="0.25">
      <c r="A28" s="8" t="s">
        <v>15</v>
      </c>
      <c r="B28" s="13"/>
      <c r="C28" s="13"/>
      <c r="D28" s="8"/>
      <c r="E28" s="8"/>
      <c r="F28" s="9"/>
      <c r="G28" s="14">
        <f>((5*6*26)+(3*26))*10*1.12</f>
        <v>9609.6</v>
      </c>
      <c r="H28" s="9"/>
      <c r="I28" s="14"/>
      <c r="J28" s="9"/>
      <c r="K28" s="28"/>
      <c r="M28" s="33"/>
      <c r="N28" s="33"/>
      <c r="O28" s="33"/>
    </row>
    <row r="29" spans="1:15" x14ac:dyDescent="0.25">
      <c r="A29" s="8" t="s">
        <v>44</v>
      </c>
      <c r="B29" s="13"/>
      <c r="C29" s="13"/>
      <c r="D29" s="8"/>
      <c r="E29" s="8"/>
      <c r="F29" s="9"/>
      <c r="G29" s="14">
        <v>500</v>
      </c>
      <c r="H29" s="9"/>
      <c r="I29" s="14"/>
      <c r="J29" s="9"/>
      <c r="K29" s="28">
        <v>12000</v>
      </c>
      <c r="M29" s="33"/>
      <c r="N29" s="38"/>
      <c r="O29" s="33"/>
    </row>
    <row r="30" spans="1:15" x14ac:dyDescent="0.25">
      <c r="A30" s="8" t="s">
        <v>26</v>
      </c>
      <c r="B30" s="13"/>
      <c r="C30" s="13"/>
      <c r="D30" s="8"/>
      <c r="E30" s="8"/>
      <c r="F30" s="9"/>
      <c r="G30" s="14">
        <f>1*6*26*10*1.12</f>
        <v>1747.2000000000003</v>
      </c>
      <c r="H30" s="9"/>
      <c r="I30" s="14"/>
      <c r="J30" s="9"/>
      <c r="K30" s="28">
        <f>1*6*26*10*1.12</f>
        <v>1747.2000000000003</v>
      </c>
      <c r="M30" s="39"/>
      <c r="N30" s="38"/>
      <c r="O30" s="38"/>
    </row>
    <row r="31" spans="1:15" x14ac:dyDescent="0.25">
      <c r="A31" s="8" t="s">
        <v>16</v>
      </c>
      <c r="B31" s="13"/>
      <c r="C31" s="13"/>
      <c r="D31" s="8"/>
      <c r="E31" s="8"/>
      <c r="F31" s="9"/>
      <c r="G31" s="14">
        <v>2500</v>
      </c>
      <c r="H31" s="9"/>
      <c r="I31" s="14">
        <v>2500</v>
      </c>
      <c r="J31" s="9"/>
      <c r="K31" s="28"/>
      <c r="M31" s="39"/>
      <c r="N31" s="39"/>
      <c r="O31" s="39"/>
    </row>
    <row r="32" spans="1:15" x14ac:dyDescent="0.25">
      <c r="A32" s="8" t="s">
        <v>34</v>
      </c>
      <c r="B32" s="13"/>
      <c r="C32" s="13"/>
      <c r="D32" s="8"/>
      <c r="E32" s="8"/>
      <c r="F32" s="9"/>
      <c r="G32" s="14">
        <v>2500</v>
      </c>
      <c r="H32" s="9"/>
      <c r="I32" s="14">
        <v>2500</v>
      </c>
      <c r="J32" s="9"/>
      <c r="K32" s="28"/>
      <c r="M32" s="39"/>
      <c r="N32" s="39"/>
      <c r="O32" s="39"/>
    </row>
    <row r="33" spans="1:15" x14ac:dyDescent="0.25">
      <c r="A33" s="8" t="s">
        <v>17</v>
      </c>
      <c r="B33" s="13"/>
      <c r="C33" s="13"/>
      <c r="D33" s="8"/>
      <c r="E33" s="8"/>
      <c r="F33" s="9"/>
      <c r="G33" s="14">
        <v>240</v>
      </c>
      <c r="H33" s="9"/>
      <c r="I33" s="14"/>
      <c r="J33" s="9"/>
      <c r="K33" s="28">
        <v>240</v>
      </c>
      <c r="M33" s="40"/>
      <c r="N33" s="40"/>
      <c r="O33" s="40"/>
    </row>
    <row r="34" spans="1:15" x14ac:dyDescent="0.25">
      <c r="A34" s="8" t="s">
        <v>18</v>
      </c>
      <c r="B34" s="13"/>
      <c r="C34" s="13"/>
      <c r="D34" s="8"/>
      <c r="E34" s="8"/>
      <c r="F34" s="9"/>
      <c r="G34" s="14">
        <v>1200</v>
      </c>
      <c r="H34" s="9"/>
      <c r="I34" s="14"/>
      <c r="J34" s="9"/>
      <c r="K34" s="28">
        <v>1200</v>
      </c>
      <c r="M34" s="33"/>
      <c r="N34" s="33"/>
      <c r="O34" s="33"/>
    </row>
    <row r="35" spans="1:15" x14ac:dyDescent="0.25">
      <c r="A35" s="8" t="s">
        <v>33</v>
      </c>
      <c r="B35" s="13"/>
      <c r="C35" s="13"/>
      <c r="D35" s="8"/>
      <c r="E35" s="8"/>
      <c r="F35" s="9"/>
      <c r="G35" s="14">
        <v>2000</v>
      </c>
      <c r="H35" s="9"/>
      <c r="I35" s="14"/>
      <c r="J35" s="9"/>
      <c r="K35" s="28">
        <v>750</v>
      </c>
      <c r="M35" s="33"/>
      <c r="N35" s="33"/>
      <c r="O35" s="33"/>
    </row>
    <row r="36" spans="1:15" x14ac:dyDescent="0.25">
      <c r="A36" s="8" t="s">
        <v>19</v>
      </c>
      <c r="B36" s="13"/>
      <c r="C36" s="13"/>
      <c r="D36" s="8"/>
      <c r="E36" s="8"/>
      <c r="F36" s="9"/>
      <c r="G36" s="14">
        <v>660</v>
      </c>
      <c r="H36" s="9"/>
      <c r="I36" s="14"/>
      <c r="J36" s="9"/>
      <c r="K36" s="28">
        <v>660</v>
      </c>
      <c r="M36" s="33"/>
      <c r="N36" s="33"/>
      <c r="O36" s="33"/>
    </row>
    <row r="37" spans="1:15" x14ac:dyDescent="0.25">
      <c r="A37" s="8" t="s">
        <v>20</v>
      </c>
      <c r="B37" s="13"/>
      <c r="C37" s="13"/>
      <c r="D37" s="8"/>
      <c r="E37" s="8"/>
      <c r="F37" s="9"/>
      <c r="G37" s="14">
        <v>600</v>
      </c>
      <c r="H37" s="9"/>
      <c r="I37" s="14"/>
      <c r="J37" s="9"/>
      <c r="K37" s="28">
        <v>600</v>
      </c>
      <c r="M37" s="33"/>
      <c r="N37" s="33"/>
      <c r="O37" s="33"/>
    </row>
    <row r="38" spans="1:15" x14ac:dyDescent="0.25">
      <c r="A38" s="8" t="s">
        <v>6</v>
      </c>
      <c r="B38" s="13"/>
      <c r="C38" s="13"/>
      <c r="D38" s="8"/>
      <c r="E38" s="8"/>
      <c r="F38" s="9"/>
      <c r="G38" s="14">
        <v>360</v>
      </c>
      <c r="H38" s="9"/>
      <c r="I38" s="14"/>
      <c r="J38" s="9"/>
      <c r="K38" s="28">
        <v>360</v>
      </c>
      <c r="M38" s="33"/>
      <c r="N38" s="33"/>
      <c r="O38" s="33"/>
    </row>
    <row r="39" spans="1:15" x14ac:dyDescent="0.25">
      <c r="A39" s="8" t="s">
        <v>21</v>
      </c>
      <c r="B39" s="13"/>
      <c r="C39" s="13"/>
      <c r="D39" s="8"/>
      <c r="E39" s="8"/>
      <c r="F39" s="9"/>
      <c r="G39" s="14">
        <v>2000</v>
      </c>
      <c r="H39" s="9"/>
      <c r="I39" s="14"/>
      <c r="J39" s="9"/>
      <c r="K39" s="28">
        <v>2000</v>
      </c>
      <c r="M39" s="33"/>
      <c r="N39" s="33"/>
      <c r="O39" s="33"/>
    </row>
    <row r="40" spans="1:15" x14ac:dyDescent="0.25">
      <c r="A40" s="8" t="s">
        <v>5</v>
      </c>
      <c r="B40" s="13"/>
      <c r="C40" s="13"/>
      <c r="D40" s="8"/>
      <c r="E40" s="8"/>
      <c r="F40" s="9"/>
      <c r="G40" s="14">
        <v>2000</v>
      </c>
      <c r="H40" s="9"/>
      <c r="I40" s="14">
        <v>2000</v>
      </c>
      <c r="J40" s="9"/>
      <c r="K40" s="28"/>
      <c r="M40" s="33"/>
      <c r="N40" s="33"/>
      <c r="O40" s="33"/>
    </row>
    <row r="41" spans="1:15" x14ac:dyDescent="0.25">
      <c r="A41" s="8" t="s">
        <v>22</v>
      </c>
      <c r="B41" s="13"/>
      <c r="C41" s="13"/>
      <c r="D41" s="8"/>
      <c r="E41" s="8"/>
      <c r="F41" s="9"/>
      <c r="G41" s="8"/>
      <c r="H41" s="9"/>
      <c r="I41" s="8"/>
      <c r="J41" s="9"/>
      <c r="K41" s="24"/>
    </row>
    <row r="42" spans="1:15" x14ac:dyDescent="0.25">
      <c r="A42" s="8" t="s">
        <v>23</v>
      </c>
      <c r="B42" s="13"/>
      <c r="C42" s="13"/>
      <c r="D42" s="8"/>
      <c r="E42" s="8"/>
      <c r="F42" s="9"/>
      <c r="G42" s="14">
        <f>G24*0.01</f>
        <v>241.36666666666667</v>
      </c>
      <c r="H42" s="9"/>
      <c r="I42" s="14">
        <f>I24*0.01</f>
        <v>100</v>
      </c>
      <c r="J42" s="9"/>
      <c r="K42" s="28">
        <f>K24*0.01</f>
        <v>289.64</v>
      </c>
    </row>
    <row r="43" spans="1:15" x14ac:dyDescent="0.25">
      <c r="A43" s="8" t="s">
        <v>7</v>
      </c>
      <c r="B43" s="13"/>
      <c r="C43" s="13"/>
      <c r="D43" s="8"/>
      <c r="E43" s="8"/>
      <c r="F43" s="9"/>
      <c r="G43" s="14">
        <v>500</v>
      </c>
      <c r="H43" s="9"/>
      <c r="I43" s="14">
        <v>500</v>
      </c>
      <c r="J43" s="9"/>
      <c r="K43" s="28">
        <v>500</v>
      </c>
    </row>
    <row r="44" spans="1:15" x14ac:dyDescent="0.25">
      <c r="A44" s="8" t="s">
        <v>7</v>
      </c>
      <c r="B44" s="13"/>
      <c r="C44" s="13"/>
      <c r="D44" s="8"/>
      <c r="E44" s="8"/>
      <c r="F44" s="9"/>
      <c r="G44" s="8"/>
      <c r="H44" s="9"/>
      <c r="I44" s="8"/>
      <c r="J44" s="9"/>
      <c r="K44" s="24"/>
    </row>
    <row r="45" spans="1:15" x14ac:dyDescent="0.25">
      <c r="A45" s="7" t="s">
        <v>24</v>
      </c>
      <c r="B45" s="15"/>
      <c r="C45" s="15"/>
      <c r="D45" s="7"/>
      <c r="E45" s="7"/>
      <c r="F45" s="11"/>
      <c r="G45" s="16">
        <f>SUM(G28:G44)</f>
        <v>26658.166666666668</v>
      </c>
      <c r="H45" s="11"/>
      <c r="I45" s="16">
        <f>SUM(I28:I44)</f>
        <v>7600</v>
      </c>
      <c r="J45" s="11"/>
      <c r="K45" s="29">
        <f>SUM(K28:K44)</f>
        <v>20346.84</v>
      </c>
    </row>
    <row r="46" spans="1:15" x14ac:dyDescent="0.25">
      <c r="A46" s="8"/>
      <c r="B46" s="8"/>
      <c r="C46" s="8"/>
      <c r="D46" s="8"/>
      <c r="E46" s="8"/>
      <c r="F46" s="9"/>
      <c r="G46" s="9"/>
      <c r="H46" s="9"/>
      <c r="I46" s="8"/>
      <c r="J46" s="9"/>
      <c r="K46" s="25"/>
    </row>
    <row r="47" spans="1:15" x14ac:dyDescent="0.25">
      <c r="A47" s="7" t="s">
        <v>25</v>
      </c>
      <c r="B47" s="8"/>
      <c r="C47" s="8"/>
      <c r="D47" s="8"/>
      <c r="E47" s="8"/>
      <c r="F47" s="11"/>
      <c r="G47" s="41">
        <f>G24-G45</f>
        <v>-2521.5</v>
      </c>
      <c r="H47" s="11"/>
      <c r="I47" s="17">
        <f>I24-I45</f>
        <v>2400</v>
      </c>
      <c r="J47" s="11"/>
      <c r="K47" s="30">
        <f>K24-K45</f>
        <v>8617.16</v>
      </c>
    </row>
    <row r="48" spans="1:15" x14ac:dyDescent="0.25">
      <c r="F48" s="2"/>
      <c r="G48" s="2"/>
      <c r="H48" s="2"/>
      <c r="J48" s="2"/>
      <c r="K48" s="27"/>
    </row>
    <row r="49" spans="1:11" x14ac:dyDescent="0.25">
      <c r="A49" s="5" t="s">
        <v>27</v>
      </c>
      <c r="F49" s="2"/>
      <c r="G49" s="6">
        <f>G47/G13</f>
        <v>-4.6704823294065351E-3</v>
      </c>
      <c r="H49" s="2"/>
      <c r="I49" s="6">
        <f>I47/I13</f>
        <v>4.4454323182929537E-3</v>
      </c>
      <c r="J49" s="2"/>
      <c r="K49" s="31"/>
    </row>
    <row r="50" spans="1:11" x14ac:dyDescent="0.25">
      <c r="F50" s="2"/>
      <c r="G50" s="2"/>
      <c r="H50" s="2"/>
      <c r="J50" s="2"/>
      <c r="K50" s="23"/>
    </row>
    <row r="51" spans="1:11" x14ac:dyDescent="0.25">
      <c r="F51" s="2"/>
      <c r="G51" s="2"/>
      <c r="H51" s="2"/>
      <c r="I51" s="2"/>
      <c r="J51" s="2"/>
      <c r="K51" s="27"/>
    </row>
    <row r="52" spans="1:11" ht="15.75" hidden="1" x14ac:dyDescent="0.25">
      <c r="A52" s="20" t="s">
        <v>35</v>
      </c>
      <c r="F52" s="2"/>
      <c r="G52" s="2"/>
      <c r="H52" s="2"/>
      <c r="I52" s="2"/>
      <c r="J52" s="2"/>
      <c r="K52" s="27"/>
    </row>
    <row r="53" spans="1:11" hidden="1" x14ac:dyDescent="0.25">
      <c r="F53" s="2"/>
      <c r="G53" s="2"/>
      <c r="H53" s="2"/>
      <c r="I53" s="2"/>
      <c r="J53" s="2"/>
      <c r="K53" s="27"/>
    </row>
    <row r="54" spans="1:11" ht="32.25" hidden="1" customHeight="1" x14ac:dyDescent="0.25">
      <c r="A54" s="81" t="s">
        <v>36</v>
      </c>
      <c r="B54" s="81"/>
      <c r="C54" s="81"/>
      <c r="D54" s="81"/>
      <c r="E54" s="81"/>
      <c r="F54" s="81"/>
      <c r="G54" s="81"/>
      <c r="H54" s="2"/>
      <c r="I54" s="2"/>
      <c r="J54" s="2"/>
      <c r="K54" s="27"/>
    </row>
    <row r="55" spans="1:11" ht="15.75" hidden="1" x14ac:dyDescent="0.25">
      <c r="A55" s="81" t="s">
        <v>37</v>
      </c>
      <c r="B55" s="81"/>
      <c r="C55" s="81"/>
      <c r="D55" s="81"/>
      <c r="E55" s="81"/>
      <c r="F55" s="81"/>
      <c r="G55" s="81"/>
      <c r="H55" s="2"/>
      <c r="I55" s="2"/>
      <c r="J55" s="2"/>
      <c r="K55" s="27"/>
    </row>
    <row r="56" spans="1:11" ht="48" hidden="1" customHeight="1" x14ac:dyDescent="0.25">
      <c r="A56" s="81" t="s">
        <v>38</v>
      </c>
      <c r="B56" s="81"/>
      <c r="C56" s="81"/>
      <c r="D56" s="81"/>
      <c r="E56" s="81"/>
      <c r="F56" s="81"/>
      <c r="G56" s="81"/>
      <c r="H56" s="2"/>
      <c r="I56" s="2"/>
      <c r="J56" s="2"/>
      <c r="K56" s="27"/>
    </row>
    <row r="57" spans="1:11" ht="32.25" hidden="1" customHeight="1" x14ac:dyDescent="0.25">
      <c r="A57" s="81" t="s">
        <v>39</v>
      </c>
      <c r="B57" s="81"/>
      <c r="C57" s="81"/>
      <c r="D57" s="81"/>
      <c r="E57" s="81"/>
      <c r="F57" s="81"/>
      <c r="G57" s="81"/>
      <c r="H57" s="2"/>
      <c r="I57" s="2"/>
      <c r="J57" s="2"/>
      <c r="K57" s="27"/>
    </row>
    <row r="58" spans="1:11" ht="15.75" hidden="1" x14ac:dyDescent="0.25">
      <c r="A58" s="81" t="s">
        <v>40</v>
      </c>
      <c r="B58" s="81"/>
      <c r="C58" s="81"/>
      <c r="D58" s="81"/>
      <c r="E58" s="81"/>
      <c r="F58" s="81"/>
      <c r="G58" s="81"/>
      <c r="H58" s="2"/>
      <c r="I58" s="2"/>
      <c r="J58" s="2"/>
      <c r="K58" s="27"/>
    </row>
    <row r="59" spans="1:11" ht="15.75" hidden="1" x14ac:dyDescent="0.25">
      <c r="A59" s="81" t="s">
        <v>41</v>
      </c>
      <c r="B59" s="81"/>
      <c r="C59" s="81"/>
      <c r="D59" s="81"/>
      <c r="E59" s="81"/>
      <c r="F59" s="81"/>
      <c r="G59" s="81"/>
      <c r="H59" s="2"/>
      <c r="I59" s="2"/>
      <c r="J59" s="2"/>
      <c r="K59" s="27"/>
    </row>
    <row r="60" spans="1:11" ht="33" hidden="1" customHeight="1" x14ac:dyDescent="0.25">
      <c r="A60" s="81" t="s">
        <v>42</v>
      </c>
      <c r="B60" s="81"/>
      <c r="C60" s="81"/>
      <c r="D60" s="81"/>
      <c r="E60" s="81"/>
      <c r="F60" s="81"/>
      <c r="G60" s="81"/>
      <c r="H60" s="2"/>
      <c r="I60" s="2"/>
      <c r="J60" s="2"/>
      <c r="K60" s="27"/>
    </row>
    <row r="61" spans="1:11" ht="30" hidden="1" customHeight="1" x14ac:dyDescent="0.25">
      <c r="A61" s="81" t="s">
        <v>43</v>
      </c>
      <c r="B61" s="81"/>
      <c r="C61" s="81"/>
      <c r="D61" s="81"/>
      <c r="E61" s="81"/>
      <c r="F61" s="81"/>
      <c r="G61" s="81"/>
      <c r="H61" s="2"/>
      <c r="I61" s="2"/>
      <c r="J61" s="2"/>
      <c r="K61" s="27"/>
    </row>
    <row r="62" spans="1:11" x14ac:dyDescent="0.25">
      <c r="F62" s="2"/>
      <c r="G62" s="2"/>
      <c r="H62" s="2"/>
      <c r="I62" s="2"/>
      <c r="J62" s="2"/>
      <c r="K62" s="27"/>
    </row>
    <row r="63" spans="1:11" x14ac:dyDescent="0.25">
      <c r="F63" s="2"/>
      <c r="G63" s="2"/>
      <c r="H63" s="2"/>
      <c r="I63" s="2"/>
      <c r="J63" s="2"/>
      <c r="K63" s="27"/>
    </row>
    <row r="64" spans="1:11" x14ac:dyDescent="0.25">
      <c r="F64" s="2"/>
      <c r="G64" s="2"/>
      <c r="H64" s="2"/>
      <c r="I64" s="2"/>
      <c r="J64" s="2"/>
      <c r="K64" s="27"/>
    </row>
    <row r="65" spans="6:11" x14ac:dyDescent="0.25">
      <c r="F65" s="2"/>
      <c r="G65" s="2"/>
      <c r="H65" s="2"/>
      <c r="I65" s="2"/>
      <c r="J65" s="2"/>
      <c r="K65" s="27"/>
    </row>
    <row r="66" spans="6:11" x14ac:dyDescent="0.25">
      <c r="F66" s="2"/>
      <c r="G66" s="2"/>
      <c r="H66" s="2"/>
      <c r="I66" s="2"/>
      <c r="J66" s="2"/>
      <c r="K66" s="27"/>
    </row>
    <row r="67" spans="6:11" x14ac:dyDescent="0.25">
      <c r="F67" s="2"/>
      <c r="G67" s="2"/>
      <c r="H67" s="2"/>
      <c r="I67" s="2"/>
      <c r="J67" s="2"/>
      <c r="K67" s="23"/>
    </row>
    <row r="68" spans="6:11" x14ac:dyDescent="0.25">
      <c r="F68" s="2"/>
      <c r="G68" s="2"/>
      <c r="H68" s="2"/>
      <c r="I68" s="2"/>
      <c r="J68" s="2"/>
      <c r="K68" s="23"/>
    </row>
    <row r="69" spans="6:11" x14ac:dyDescent="0.25">
      <c r="F69" s="2"/>
      <c r="G69" s="2"/>
      <c r="H69" s="2"/>
      <c r="I69" s="2"/>
      <c r="J69" s="2"/>
    </row>
    <row r="70" spans="6:11" x14ac:dyDescent="0.25">
      <c r="F70" s="2"/>
      <c r="G70" s="2"/>
      <c r="H70" s="2"/>
      <c r="I70" s="2"/>
      <c r="J70" s="2"/>
    </row>
    <row r="71" spans="6:11" x14ac:dyDescent="0.25">
      <c r="F71" s="2"/>
      <c r="G71" s="2"/>
      <c r="H71" s="2"/>
      <c r="I71" s="2"/>
      <c r="J71" s="2"/>
    </row>
    <row r="72" spans="6:11" x14ac:dyDescent="0.25">
      <c r="F72" s="2"/>
      <c r="G72" s="2"/>
      <c r="H72" s="2"/>
      <c r="I72" s="2"/>
      <c r="J72" s="2"/>
    </row>
  </sheetData>
  <mergeCells count="9">
    <mergeCell ref="N8:O8"/>
    <mergeCell ref="A60:G60"/>
    <mergeCell ref="A61:G61"/>
    <mergeCell ref="A54:G54"/>
    <mergeCell ref="A55:G55"/>
    <mergeCell ref="A56:G56"/>
    <mergeCell ref="A57:G57"/>
    <mergeCell ref="A58:G58"/>
    <mergeCell ref="A59:G59"/>
  </mergeCells>
  <pageMargins left="0.70866141732283472" right="0.70866141732283472" top="0.74803149606299213" bottom="0.74803149606299213" header="0.31496062992125984" footer="0.31496062992125984"/>
  <pageSetup paperSize="9" scale="74" orientation="portrait" verticalDpi="0" r:id="rId1"/>
  <rowBreaks count="1" manualBreakCount="1">
    <brk id="5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2"/>
  <sheetViews>
    <sheetView topLeftCell="A15" zoomScaleNormal="100" workbookViewId="0">
      <selection activeCell="C20" sqref="C20"/>
    </sheetView>
  </sheetViews>
  <sheetFormatPr defaultRowHeight="15" x14ac:dyDescent="0.25"/>
  <cols>
    <col min="1" max="1" width="33.42578125" customWidth="1"/>
    <col min="2" max="2" width="9.28515625" customWidth="1"/>
    <col min="3" max="3" width="11.140625" style="4" customWidth="1"/>
    <col min="4" max="4" width="8.28515625" customWidth="1"/>
    <col min="5" max="5" width="10.42578125" customWidth="1"/>
    <col min="6" max="6" width="3.85546875" customWidth="1"/>
    <col min="7" max="7" width="10.5703125" bestFit="1" customWidth="1"/>
    <col min="8" max="8" width="5.42578125" customWidth="1"/>
    <col min="10" max="10" width="5.5703125" customWidth="1"/>
  </cols>
  <sheetData>
    <row r="1" spans="1:11" x14ac:dyDescent="0.25">
      <c r="A1" s="1" t="s">
        <v>47</v>
      </c>
      <c r="B1" s="1"/>
      <c r="C1" s="5"/>
      <c r="D1" s="1"/>
    </row>
    <row r="2" spans="1:11" x14ac:dyDescent="0.25">
      <c r="A2" s="5" t="s">
        <v>59</v>
      </c>
    </row>
    <row r="4" spans="1:11" x14ac:dyDescent="0.25">
      <c r="F4" s="1"/>
      <c r="G4" s="1" t="s">
        <v>0</v>
      </c>
      <c r="H4" s="5"/>
      <c r="I4" s="1" t="s">
        <v>1</v>
      </c>
      <c r="J4" s="5"/>
      <c r="K4" s="21" t="s">
        <v>53</v>
      </c>
    </row>
    <row r="5" spans="1:11" x14ac:dyDescent="0.25">
      <c r="F5" s="1"/>
      <c r="G5" s="3" t="s">
        <v>45</v>
      </c>
      <c r="H5" s="5"/>
      <c r="I5" s="3" t="s">
        <v>49</v>
      </c>
      <c r="J5" s="5"/>
      <c r="K5" s="22" t="s">
        <v>51</v>
      </c>
    </row>
    <row r="6" spans="1:11" x14ac:dyDescent="0.25">
      <c r="F6" s="1"/>
      <c r="G6" s="3" t="s">
        <v>46</v>
      </c>
      <c r="H6" s="5"/>
      <c r="I6" s="3" t="s">
        <v>50</v>
      </c>
      <c r="J6" s="5"/>
      <c r="K6" s="22" t="s">
        <v>52</v>
      </c>
    </row>
    <row r="7" spans="1:11" x14ac:dyDescent="0.25">
      <c r="H7" s="4"/>
      <c r="J7" s="4"/>
      <c r="K7" s="22" t="s">
        <v>54</v>
      </c>
    </row>
    <row r="8" spans="1:11" x14ac:dyDescent="0.25">
      <c r="A8" s="7" t="s">
        <v>30</v>
      </c>
      <c r="B8" s="8"/>
      <c r="C8" s="8"/>
      <c r="D8" s="8"/>
      <c r="E8" s="8"/>
      <c r="F8" s="8"/>
      <c r="G8" s="8"/>
      <c r="H8" s="8"/>
      <c r="I8" s="8"/>
      <c r="J8" s="8"/>
      <c r="K8" s="24"/>
    </row>
    <row r="9" spans="1:11" x14ac:dyDescent="0.25">
      <c r="A9" s="8" t="s">
        <v>2</v>
      </c>
      <c r="B9" s="8"/>
      <c r="C9" s="8"/>
      <c r="D9" s="8"/>
      <c r="E9" s="8"/>
      <c r="F9" s="9"/>
      <c r="G9" s="9">
        <v>602000</v>
      </c>
      <c r="H9" s="9"/>
      <c r="I9" s="9">
        <v>602000</v>
      </c>
      <c r="J9" s="9"/>
      <c r="K9" s="25"/>
    </row>
    <row r="10" spans="1:11" x14ac:dyDescent="0.25">
      <c r="A10" s="8" t="s">
        <v>48</v>
      </c>
      <c r="B10" s="8"/>
      <c r="C10" s="8"/>
      <c r="D10" s="8"/>
      <c r="E10" s="8"/>
      <c r="F10" s="9"/>
      <c r="G10" s="9">
        <f>G9*0.2</f>
        <v>120400</v>
      </c>
      <c r="H10" s="9"/>
      <c r="I10" s="9">
        <f>I9*0.2</f>
        <v>120400</v>
      </c>
      <c r="J10" s="9"/>
      <c r="K10" s="25"/>
    </row>
    <row r="11" spans="1:11" x14ac:dyDescent="0.25">
      <c r="A11" s="8"/>
      <c r="B11" s="8"/>
      <c r="C11" s="8"/>
      <c r="D11" s="8"/>
      <c r="E11" s="8"/>
      <c r="F11" s="9"/>
      <c r="G11" s="9"/>
      <c r="H11" s="9"/>
      <c r="I11" s="9"/>
      <c r="J11" s="9"/>
      <c r="K11" s="25"/>
    </row>
    <row r="12" spans="1:11" x14ac:dyDescent="0.25">
      <c r="A12" s="8"/>
      <c r="B12" s="8"/>
      <c r="C12" s="8"/>
      <c r="D12" s="8"/>
      <c r="E12" s="8"/>
      <c r="F12" s="9"/>
      <c r="G12" s="9"/>
      <c r="H12" s="9"/>
      <c r="I12" s="9"/>
      <c r="J12" s="9"/>
      <c r="K12" s="25"/>
    </row>
    <row r="13" spans="1:11" x14ac:dyDescent="0.25">
      <c r="A13" s="7" t="s">
        <v>14</v>
      </c>
      <c r="B13" s="7"/>
      <c r="C13" s="7"/>
      <c r="D13" s="7"/>
      <c r="E13" s="7"/>
      <c r="F13" s="11"/>
      <c r="G13" s="10">
        <f>SUM(G9:G12)</f>
        <v>722400</v>
      </c>
      <c r="H13" s="11"/>
      <c r="I13" s="10">
        <f>SUM(I9:I12)</f>
        <v>722400</v>
      </c>
      <c r="J13" s="11"/>
      <c r="K13" s="26">
        <f>SUM(K9:K12)</f>
        <v>0</v>
      </c>
    </row>
    <row r="14" spans="1:11" x14ac:dyDescent="0.25">
      <c r="F14" s="2"/>
      <c r="G14" s="2"/>
      <c r="H14" s="2"/>
      <c r="I14" s="2"/>
      <c r="J14" s="2"/>
      <c r="K14" s="27"/>
    </row>
    <row r="15" spans="1:11" x14ac:dyDescent="0.25">
      <c r="A15" s="7" t="s">
        <v>31</v>
      </c>
      <c r="B15" s="8"/>
      <c r="C15" s="8"/>
      <c r="D15" s="8"/>
      <c r="E15" s="8"/>
      <c r="F15" s="7"/>
      <c r="G15" s="7" t="s">
        <v>0</v>
      </c>
      <c r="H15" s="7"/>
      <c r="I15" s="7" t="s">
        <v>1</v>
      </c>
      <c r="J15" s="7"/>
      <c r="K15" s="18" t="s">
        <v>53</v>
      </c>
    </row>
    <row r="16" spans="1:11" x14ac:dyDescent="0.25">
      <c r="A16" s="8"/>
      <c r="B16" s="18" t="s">
        <v>12</v>
      </c>
      <c r="C16" s="19" t="s">
        <v>29</v>
      </c>
      <c r="D16" s="8" t="s">
        <v>8</v>
      </c>
      <c r="E16" s="8"/>
      <c r="F16" s="9"/>
      <c r="G16" s="32" t="s">
        <v>55</v>
      </c>
      <c r="H16" s="9"/>
      <c r="I16" s="32" t="s">
        <v>55</v>
      </c>
      <c r="J16" s="9"/>
      <c r="K16" s="25"/>
    </row>
    <row r="17" spans="1:13" x14ac:dyDescent="0.25">
      <c r="A17" s="8" t="s">
        <v>56</v>
      </c>
      <c r="B17" s="8">
        <v>10</v>
      </c>
      <c r="C17" s="12">
        <v>0.3</v>
      </c>
      <c r="D17" s="8">
        <v>35</v>
      </c>
      <c r="E17" s="8" t="s">
        <v>11</v>
      </c>
      <c r="F17" s="9"/>
      <c r="G17" s="9">
        <f>(B17*D17*C17*4*28)/6*5</f>
        <v>9800</v>
      </c>
      <c r="H17" s="9"/>
      <c r="I17" s="9"/>
      <c r="J17" s="9"/>
      <c r="K17" s="25">
        <f>B17*C17*D17*4*28</f>
        <v>11760</v>
      </c>
      <c r="M17" s="2"/>
    </row>
    <row r="18" spans="1:13" s="4" customFormat="1" x14ac:dyDescent="0.25">
      <c r="A18" s="8" t="s">
        <v>57</v>
      </c>
      <c r="B18" s="8">
        <v>16</v>
      </c>
      <c r="C18" s="12">
        <v>0.3</v>
      </c>
      <c r="D18" s="8">
        <v>25</v>
      </c>
      <c r="E18" s="8" t="s">
        <v>11</v>
      </c>
      <c r="F18" s="9"/>
      <c r="G18" s="9">
        <f>(B18*D18*C18*4*28)/6*5</f>
        <v>11200</v>
      </c>
      <c r="H18" s="9"/>
      <c r="I18" s="9"/>
      <c r="J18" s="9"/>
      <c r="K18" s="25">
        <f>B18*C18*D18*4*28</f>
        <v>13440</v>
      </c>
      <c r="M18" s="2"/>
    </row>
    <row r="19" spans="1:13" s="4" customFormat="1" x14ac:dyDescent="0.25">
      <c r="A19" s="8" t="s">
        <v>28</v>
      </c>
      <c r="B19" s="8">
        <v>8</v>
      </c>
      <c r="C19" s="12">
        <v>0.3</v>
      </c>
      <c r="D19" s="8">
        <v>500</v>
      </c>
      <c r="E19" s="8" t="s">
        <v>9</v>
      </c>
      <c r="F19" s="9"/>
      <c r="G19" s="9">
        <f>(B19*D19*C19)/6*5</f>
        <v>1000</v>
      </c>
      <c r="H19" s="9"/>
      <c r="I19" s="9"/>
      <c r="J19" s="9"/>
      <c r="K19" s="25">
        <f>B19*D19*C19</f>
        <v>1200</v>
      </c>
      <c r="M19" s="2"/>
    </row>
    <row r="20" spans="1:13" x14ac:dyDescent="0.25">
      <c r="A20" s="8" t="s">
        <v>3</v>
      </c>
      <c r="B20" s="8">
        <v>10</v>
      </c>
      <c r="C20" s="8"/>
      <c r="D20" s="8">
        <v>4</v>
      </c>
      <c r="E20" s="8" t="s">
        <v>10</v>
      </c>
      <c r="F20" s="9"/>
      <c r="G20" s="9">
        <f>(B20*D20*4*28)/6*5</f>
        <v>3733.333333333333</v>
      </c>
      <c r="H20" s="9"/>
      <c r="I20" s="9"/>
      <c r="J20" s="9"/>
      <c r="K20" s="25">
        <f>B20*D20*4*28</f>
        <v>4480</v>
      </c>
      <c r="M20" s="2"/>
    </row>
    <row r="21" spans="1:13" x14ac:dyDescent="0.25">
      <c r="A21" s="8" t="s">
        <v>4</v>
      </c>
      <c r="B21" s="8">
        <v>4</v>
      </c>
      <c r="C21" s="12">
        <v>0.75</v>
      </c>
      <c r="D21" s="8">
        <v>20</v>
      </c>
      <c r="E21" s="8" t="s">
        <v>11</v>
      </c>
      <c r="F21" s="9"/>
      <c r="G21" s="9">
        <f>(B21*D21*4.5*28*C21)/6*5</f>
        <v>6300</v>
      </c>
      <c r="H21" s="9"/>
      <c r="I21" s="9"/>
      <c r="J21" s="9"/>
      <c r="K21" s="25">
        <f>B21*D21*4.5*28*C21</f>
        <v>7560</v>
      </c>
      <c r="M21" s="2"/>
    </row>
    <row r="22" spans="1:13" s="4" customFormat="1" x14ac:dyDescent="0.25">
      <c r="A22" s="8" t="s">
        <v>60</v>
      </c>
      <c r="B22" s="8">
        <v>12</v>
      </c>
      <c r="C22" s="12"/>
      <c r="D22" s="8">
        <v>5</v>
      </c>
      <c r="E22" s="8" t="s">
        <v>61</v>
      </c>
      <c r="F22" s="9"/>
      <c r="G22" s="9">
        <f>B22*D22*4*26/6*5</f>
        <v>5200</v>
      </c>
      <c r="H22" s="9"/>
      <c r="I22" s="9"/>
      <c r="J22" s="9"/>
      <c r="K22" s="9">
        <f>B22*D22*4*26</f>
        <v>6240</v>
      </c>
      <c r="M22" s="2"/>
    </row>
    <row r="23" spans="1:13" x14ac:dyDescent="0.25">
      <c r="A23" s="8" t="s">
        <v>44</v>
      </c>
      <c r="B23" s="8"/>
      <c r="C23" s="8"/>
      <c r="D23" s="8"/>
      <c r="E23" s="8"/>
      <c r="F23" s="9"/>
      <c r="G23" s="9"/>
      <c r="H23" s="9"/>
      <c r="I23" s="9">
        <v>15000</v>
      </c>
      <c r="J23" s="9"/>
      <c r="K23" s="25"/>
      <c r="M23" s="2"/>
    </row>
    <row r="24" spans="1:13" x14ac:dyDescent="0.25">
      <c r="A24" s="7" t="s">
        <v>13</v>
      </c>
      <c r="B24" s="8"/>
      <c r="C24" s="8"/>
      <c r="D24" s="8"/>
      <c r="E24" s="8"/>
      <c r="F24" s="11"/>
      <c r="G24" s="10">
        <f>SUM(G17:G23)</f>
        <v>37233.333333333328</v>
      </c>
      <c r="H24" s="11"/>
      <c r="I24" s="10">
        <f>SUM(I17:I23)</f>
        <v>15000</v>
      </c>
      <c r="J24" s="11"/>
      <c r="K24" s="26">
        <f>SUM(K17:K23)</f>
        <v>44680</v>
      </c>
    </row>
    <row r="25" spans="1:13" x14ac:dyDescent="0.25">
      <c r="A25" s="8"/>
      <c r="B25" s="8"/>
      <c r="C25" s="8"/>
      <c r="D25" s="8"/>
      <c r="E25" s="8"/>
      <c r="F25" s="9"/>
      <c r="G25" s="9"/>
      <c r="H25" s="9"/>
      <c r="I25" s="9"/>
      <c r="J25" s="9"/>
      <c r="K25" s="25"/>
    </row>
    <row r="26" spans="1:13" x14ac:dyDescent="0.25">
      <c r="A26" s="7" t="s">
        <v>32</v>
      </c>
      <c r="B26" s="8"/>
      <c r="C26" s="8"/>
      <c r="D26" s="8"/>
      <c r="E26" s="8"/>
      <c r="F26" s="7"/>
      <c r="G26" s="7" t="s">
        <v>0</v>
      </c>
      <c r="H26" s="7"/>
      <c r="I26" s="7" t="s">
        <v>1</v>
      </c>
      <c r="J26" s="7"/>
      <c r="K26" s="18" t="s">
        <v>53</v>
      </c>
    </row>
    <row r="27" spans="1:13" x14ac:dyDescent="0.25">
      <c r="A27" s="8"/>
      <c r="B27" s="8"/>
      <c r="C27" s="8"/>
      <c r="D27" s="8"/>
      <c r="E27" s="8"/>
      <c r="F27" s="9"/>
      <c r="G27" s="9"/>
      <c r="H27" s="9"/>
      <c r="I27" s="9"/>
      <c r="J27" s="9"/>
      <c r="K27" s="25"/>
    </row>
    <row r="28" spans="1:13" x14ac:dyDescent="0.25">
      <c r="A28" s="8" t="s">
        <v>15</v>
      </c>
      <c r="B28" s="13"/>
      <c r="C28" s="13"/>
      <c r="D28" s="8"/>
      <c r="E28" s="8"/>
      <c r="F28" s="9"/>
      <c r="G28" s="14">
        <f>((5*6*26)+(3*26))*10*1.12</f>
        <v>9609.6</v>
      </c>
      <c r="H28" s="9"/>
      <c r="I28" s="14"/>
      <c r="J28" s="9"/>
      <c r="K28" s="28"/>
    </row>
    <row r="29" spans="1:13" s="4" customFormat="1" x14ac:dyDescent="0.25">
      <c r="A29" s="8" t="s">
        <v>44</v>
      </c>
      <c r="B29" s="13"/>
      <c r="C29" s="13"/>
      <c r="D29" s="8"/>
      <c r="E29" s="8"/>
      <c r="F29" s="9"/>
      <c r="G29" s="14">
        <v>1500</v>
      </c>
      <c r="H29" s="9"/>
      <c r="I29" s="14"/>
      <c r="J29" s="9"/>
      <c r="K29" s="28">
        <f>I23*1.2</f>
        <v>18000</v>
      </c>
    </row>
    <row r="30" spans="1:13" s="4" customFormat="1" x14ac:dyDescent="0.25">
      <c r="A30" s="8" t="s">
        <v>26</v>
      </c>
      <c r="B30" s="13"/>
      <c r="C30" s="13"/>
      <c r="D30" s="8"/>
      <c r="E30" s="8"/>
      <c r="F30" s="9"/>
      <c r="G30" s="14">
        <f>1*6*26*10*1.12</f>
        <v>1747.2000000000003</v>
      </c>
      <c r="H30" s="9"/>
      <c r="I30" s="14"/>
      <c r="J30" s="9"/>
      <c r="K30" s="28">
        <f>1*6*26*10*1.12</f>
        <v>1747.2000000000003</v>
      </c>
    </row>
    <row r="31" spans="1:13" x14ac:dyDescent="0.25">
      <c r="A31" s="8" t="s">
        <v>16</v>
      </c>
      <c r="B31" s="13"/>
      <c r="C31" s="13"/>
      <c r="D31" s="8"/>
      <c r="E31" s="8"/>
      <c r="F31" s="9"/>
      <c r="G31" s="14">
        <v>2500</v>
      </c>
      <c r="H31" s="9"/>
      <c r="I31" s="14">
        <v>2500</v>
      </c>
      <c r="J31" s="9"/>
      <c r="K31" s="28"/>
    </row>
    <row r="32" spans="1:13" s="4" customFormat="1" x14ac:dyDescent="0.25">
      <c r="A32" s="8" t="s">
        <v>34</v>
      </c>
      <c r="B32" s="13"/>
      <c r="C32" s="13"/>
      <c r="D32" s="8"/>
      <c r="E32" s="8"/>
      <c r="F32" s="9"/>
      <c r="G32" s="14">
        <v>2500</v>
      </c>
      <c r="H32" s="9"/>
      <c r="I32" s="14">
        <v>2500</v>
      </c>
      <c r="J32" s="9"/>
      <c r="K32" s="28"/>
    </row>
    <row r="33" spans="1:11" x14ac:dyDescent="0.25">
      <c r="A33" s="8" t="s">
        <v>17</v>
      </c>
      <c r="B33" s="13"/>
      <c r="C33" s="13"/>
      <c r="D33" s="8"/>
      <c r="E33" s="8"/>
      <c r="F33" s="9"/>
      <c r="G33" s="14">
        <v>240</v>
      </c>
      <c r="H33" s="9"/>
      <c r="I33" s="14"/>
      <c r="J33" s="9"/>
      <c r="K33" s="28">
        <v>240</v>
      </c>
    </row>
    <row r="34" spans="1:11" x14ac:dyDescent="0.25">
      <c r="A34" s="8" t="s">
        <v>18</v>
      </c>
      <c r="B34" s="13"/>
      <c r="C34" s="13"/>
      <c r="D34" s="8"/>
      <c r="E34" s="8"/>
      <c r="F34" s="9"/>
      <c r="G34" s="14">
        <v>1200</v>
      </c>
      <c r="H34" s="9"/>
      <c r="I34" s="14"/>
      <c r="J34" s="9"/>
      <c r="K34" s="28">
        <v>1200</v>
      </c>
    </row>
    <row r="35" spans="1:11" x14ac:dyDescent="0.25">
      <c r="A35" s="8" t="s">
        <v>33</v>
      </c>
      <c r="B35" s="13"/>
      <c r="C35" s="13"/>
      <c r="D35" s="8"/>
      <c r="E35" s="8"/>
      <c r="F35" s="9"/>
      <c r="G35" s="14">
        <v>2000</v>
      </c>
      <c r="H35" s="9"/>
      <c r="I35" s="14"/>
      <c r="J35" s="9"/>
      <c r="K35" s="28">
        <v>750</v>
      </c>
    </row>
    <row r="36" spans="1:11" x14ac:dyDescent="0.25">
      <c r="A36" s="8" t="s">
        <v>19</v>
      </c>
      <c r="B36" s="13"/>
      <c r="C36" s="13"/>
      <c r="D36" s="8"/>
      <c r="E36" s="8"/>
      <c r="F36" s="9"/>
      <c r="G36" s="14">
        <v>660</v>
      </c>
      <c r="H36" s="9"/>
      <c r="I36" s="14"/>
      <c r="J36" s="9"/>
      <c r="K36" s="28">
        <v>660</v>
      </c>
    </row>
    <row r="37" spans="1:11" x14ac:dyDescent="0.25">
      <c r="A37" s="8" t="s">
        <v>20</v>
      </c>
      <c r="B37" s="13"/>
      <c r="C37" s="13"/>
      <c r="D37" s="8"/>
      <c r="E37" s="8"/>
      <c r="F37" s="9"/>
      <c r="G37" s="14">
        <v>600</v>
      </c>
      <c r="H37" s="9"/>
      <c r="I37" s="14"/>
      <c r="J37" s="9"/>
      <c r="K37" s="28">
        <v>600</v>
      </c>
    </row>
    <row r="38" spans="1:11" x14ac:dyDescent="0.25">
      <c r="A38" s="8" t="s">
        <v>6</v>
      </c>
      <c r="B38" s="13"/>
      <c r="C38" s="13"/>
      <c r="D38" s="8"/>
      <c r="E38" s="8"/>
      <c r="F38" s="9"/>
      <c r="G38" s="14">
        <v>360</v>
      </c>
      <c r="H38" s="9"/>
      <c r="I38" s="14"/>
      <c r="J38" s="9"/>
      <c r="K38" s="28">
        <v>360</v>
      </c>
    </row>
    <row r="39" spans="1:11" x14ac:dyDescent="0.25">
      <c r="A39" s="8" t="s">
        <v>21</v>
      </c>
      <c r="B39" s="13"/>
      <c r="C39" s="13"/>
      <c r="D39" s="8"/>
      <c r="E39" s="8"/>
      <c r="F39" s="9"/>
      <c r="G39" s="14">
        <v>4000</v>
      </c>
      <c r="H39" s="9"/>
      <c r="I39" s="14"/>
      <c r="J39" s="9"/>
      <c r="K39" s="28">
        <v>4000</v>
      </c>
    </row>
    <row r="40" spans="1:11" x14ac:dyDescent="0.25">
      <c r="A40" s="8" t="s">
        <v>5</v>
      </c>
      <c r="B40" s="13"/>
      <c r="C40" s="13"/>
      <c r="D40" s="8"/>
      <c r="E40" s="8"/>
      <c r="F40" s="9"/>
      <c r="G40" s="14">
        <v>2000</v>
      </c>
      <c r="H40" s="9"/>
      <c r="I40" s="14">
        <v>2000</v>
      </c>
      <c r="J40" s="9"/>
      <c r="K40" s="28"/>
    </row>
    <row r="41" spans="1:11" x14ac:dyDescent="0.25">
      <c r="A41" s="8" t="s">
        <v>22</v>
      </c>
      <c r="B41" s="13"/>
      <c r="C41" s="13"/>
      <c r="D41" s="8"/>
      <c r="E41" s="8"/>
      <c r="F41" s="9"/>
      <c r="G41" s="8"/>
      <c r="H41" s="9"/>
      <c r="I41" s="8"/>
      <c r="J41" s="9"/>
      <c r="K41" s="24"/>
    </row>
    <row r="42" spans="1:11" x14ac:dyDescent="0.25">
      <c r="A42" s="8" t="s">
        <v>23</v>
      </c>
      <c r="B42" s="13"/>
      <c r="C42" s="13"/>
      <c r="D42" s="8"/>
      <c r="E42" s="8"/>
      <c r="F42" s="9"/>
      <c r="G42" s="14">
        <f>G24*0.01</f>
        <v>372.33333333333331</v>
      </c>
      <c r="H42" s="9"/>
      <c r="I42" s="14">
        <v>100</v>
      </c>
      <c r="J42" s="9"/>
      <c r="K42" s="28">
        <f>K24*0.01</f>
        <v>446.8</v>
      </c>
    </row>
    <row r="43" spans="1:11" s="4" customFormat="1" x14ac:dyDescent="0.25">
      <c r="A43" s="8" t="s">
        <v>7</v>
      </c>
      <c r="B43" s="13"/>
      <c r="C43" s="13"/>
      <c r="D43" s="8"/>
      <c r="E43" s="8"/>
      <c r="F43" s="9"/>
      <c r="G43" s="14">
        <v>500</v>
      </c>
      <c r="H43" s="9"/>
      <c r="I43" s="14">
        <v>500</v>
      </c>
      <c r="J43" s="9"/>
      <c r="K43" s="28">
        <v>500</v>
      </c>
    </row>
    <row r="44" spans="1:11" x14ac:dyDescent="0.25">
      <c r="A44" s="8" t="s">
        <v>7</v>
      </c>
      <c r="B44" s="13"/>
      <c r="C44" s="13"/>
      <c r="D44" s="8"/>
      <c r="E44" s="8"/>
      <c r="F44" s="9"/>
      <c r="G44" s="8"/>
      <c r="H44" s="9"/>
      <c r="I44" s="8"/>
      <c r="J44" s="9"/>
      <c r="K44" s="24"/>
    </row>
    <row r="45" spans="1:11" x14ac:dyDescent="0.25">
      <c r="A45" s="7" t="s">
        <v>24</v>
      </c>
      <c r="B45" s="15"/>
      <c r="C45" s="15"/>
      <c r="D45" s="7"/>
      <c r="E45" s="7"/>
      <c r="F45" s="11"/>
      <c r="G45" s="16">
        <f>SUM(G28:G44)</f>
        <v>29789.133333333335</v>
      </c>
      <c r="H45" s="11"/>
      <c r="I45" s="16">
        <f>SUM(I28:I44)</f>
        <v>7600</v>
      </c>
      <c r="J45" s="11"/>
      <c r="K45" s="29">
        <f>SUM(K28:K44)</f>
        <v>28504</v>
      </c>
    </row>
    <row r="46" spans="1:11" x14ac:dyDescent="0.25">
      <c r="A46" s="8"/>
      <c r="B46" s="8"/>
      <c r="C46" s="8"/>
      <c r="D46" s="8"/>
      <c r="E46" s="8"/>
      <c r="F46" s="9"/>
      <c r="G46" s="9"/>
      <c r="H46" s="9"/>
      <c r="I46" s="8"/>
      <c r="J46" s="9"/>
      <c r="K46" s="25"/>
    </row>
    <row r="47" spans="1:11" x14ac:dyDescent="0.25">
      <c r="A47" s="7" t="s">
        <v>25</v>
      </c>
      <c r="B47" s="8"/>
      <c r="C47" s="8"/>
      <c r="D47" s="8"/>
      <c r="E47" s="8"/>
      <c r="F47" s="11"/>
      <c r="G47" s="41">
        <f>G24-G45</f>
        <v>7444.1999999999935</v>
      </c>
      <c r="H47" s="11"/>
      <c r="I47" s="17">
        <f>I24-I45</f>
        <v>7400</v>
      </c>
      <c r="J47" s="11"/>
      <c r="K47" s="30">
        <f>K24-K45</f>
        <v>16176</v>
      </c>
    </row>
    <row r="48" spans="1:11" x14ac:dyDescent="0.25">
      <c r="A48" s="4"/>
      <c r="F48" s="2"/>
      <c r="G48" s="2"/>
      <c r="H48" s="2"/>
      <c r="J48" s="2"/>
      <c r="K48" s="27"/>
    </row>
    <row r="49" spans="1:11" x14ac:dyDescent="0.25">
      <c r="A49" s="5" t="s">
        <v>27</v>
      </c>
      <c r="F49" s="2"/>
      <c r="G49" s="6">
        <f>G47/G13</f>
        <v>1.0304817275747499E-2</v>
      </c>
      <c r="H49" s="2"/>
      <c r="I49" s="6">
        <f>I47/I13</f>
        <v>1.0243632336655593E-2</v>
      </c>
      <c r="J49" s="2"/>
      <c r="K49" s="31"/>
    </row>
    <row r="50" spans="1:11" x14ac:dyDescent="0.25">
      <c r="A50" s="4"/>
      <c r="F50" s="2"/>
      <c r="G50" s="2"/>
      <c r="H50" s="2"/>
      <c r="J50" s="2"/>
      <c r="K50" s="23"/>
    </row>
    <row r="51" spans="1:11" x14ac:dyDescent="0.25">
      <c r="A51" s="4"/>
      <c r="F51" s="2"/>
      <c r="G51" s="2"/>
      <c r="H51" s="2"/>
      <c r="I51" s="2"/>
      <c r="J51" s="2"/>
      <c r="K51" s="27"/>
    </row>
    <row r="52" spans="1:11" ht="15.75" hidden="1" x14ac:dyDescent="0.25">
      <c r="A52" s="20" t="s">
        <v>35</v>
      </c>
      <c r="F52" s="2"/>
      <c r="G52" s="2"/>
      <c r="H52" s="2"/>
      <c r="I52" s="2"/>
      <c r="J52" s="2"/>
      <c r="K52" s="27"/>
    </row>
    <row r="53" spans="1:11" hidden="1" x14ac:dyDescent="0.25">
      <c r="A53" s="4"/>
      <c r="F53" s="2"/>
      <c r="G53" s="2"/>
      <c r="H53" s="2"/>
      <c r="I53" s="2"/>
      <c r="J53" s="2"/>
      <c r="K53" s="27"/>
    </row>
    <row r="54" spans="1:11" ht="32.25" hidden="1" customHeight="1" x14ac:dyDescent="0.25">
      <c r="A54" s="81" t="s">
        <v>36</v>
      </c>
      <c r="B54" s="81"/>
      <c r="C54" s="81"/>
      <c r="D54" s="81"/>
      <c r="E54" s="81"/>
      <c r="F54" s="81"/>
      <c r="G54" s="81"/>
      <c r="H54" s="2"/>
      <c r="I54" s="2"/>
      <c r="J54" s="2"/>
      <c r="K54" s="27"/>
    </row>
    <row r="55" spans="1:11" ht="15.75" hidden="1" x14ac:dyDescent="0.25">
      <c r="A55" s="81" t="s">
        <v>37</v>
      </c>
      <c r="B55" s="81"/>
      <c r="C55" s="81"/>
      <c r="D55" s="81"/>
      <c r="E55" s="81"/>
      <c r="F55" s="81"/>
      <c r="G55" s="81"/>
      <c r="H55" s="2"/>
      <c r="I55" s="2"/>
      <c r="J55" s="2"/>
      <c r="K55" s="27"/>
    </row>
    <row r="56" spans="1:11" ht="48" hidden="1" customHeight="1" x14ac:dyDescent="0.25">
      <c r="A56" s="81" t="s">
        <v>38</v>
      </c>
      <c r="B56" s="81"/>
      <c r="C56" s="81"/>
      <c r="D56" s="81"/>
      <c r="E56" s="81"/>
      <c r="F56" s="81"/>
      <c r="G56" s="81"/>
      <c r="H56" s="2"/>
      <c r="I56" s="2"/>
      <c r="J56" s="2"/>
      <c r="K56" s="27"/>
    </row>
    <row r="57" spans="1:11" ht="32.25" hidden="1" customHeight="1" x14ac:dyDescent="0.25">
      <c r="A57" s="81" t="s">
        <v>39</v>
      </c>
      <c r="B57" s="81"/>
      <c r="C57" s="81"/>
      <c r="D57" s="81"/>
      <c r="E57" s="81"/>
      <c r="F57" s="81"/>
      <c r="G57" s="81"/>
      <c r="H57" s="2"/>
      <c r="I57" s="2"/>
      <c r="J57" s="2"/>
      <c r="K57" s="27"/>
    </row>
    <row r="58" spans="1:11" ht="15.75" hidden="1" x14ac:dyDescent="0.25">
      <c r="A58" s="81" t="s">
        <v>40</v>
      </c>
      <c r="B58" s="81"/>
      <c r="C58" s="81"/>
      <c r="D58" s="81"/>
      <c r="E58" s="81"/>
      <c r="F58" s="81"/>
      <c r="G58" s="81"/>
      <c r="H58" s="2"/>
      <c r="I58" s="2"/>
      <c r="J58" s="2"/>
      <c r="K58" s="27"/>
    </row>
    <row r="59" spans="1:11" ht="15.75" hidden="1" x14ac:dyDescent="0.25">
      <c r="A59" s="81" t="s">
        <v>41</v>
      </c>
      <c r="B59" s="81"/>
      <c r="C59" s="81"/>
      <c r="D59" s="81"/>
      <c r="E59" s="81"/>
      <c r="F59" s="81"/>
      <c r="G59" s="81"/>
      <c r="H59" s="2"/>
      <c r="I59" s="2"/>
      <c r="J59" s="2"/>
      <c r="K59" s="27"/>
    </row>
    <row r="60" spans="1:11" ht="33" hidden="1" customHeight="1" x14ac:dyDescent="0.25">
      <c r="A60" s="81" t="s">
        <v>42</v>
      </c>
      <c r="B60" s="81"/>
      <c r="C60" s="81"/>
      <c r="D60" s="81"/>
      <c r="E60" s="81"/>
      <c r="F60" s="81"/>
      <c r="G60" s="81"/>
      <c r="H60" s="2"/>
      <c r="I60" s="2"/>
      <c r="J60" s="2"/>
      <c r="K60" s="27"/>
    </row>
    <row r="61" spans="1:11" ht="30" hidden="1" customHeight="1" x14ac:dyDescent="0.25">
      <c r="A61" s="81" t="s">
        <v>43</v>
      </c>
      <c r="B61" s="81"/>
      <c r="C61" s="81"/>
      <c r="D61" s="81"/>
      <c r="E61" s="81"/>
      <c r="F61" s="81"/>
      <c r="G61" s="81"/>
      <c r="H61" s="2"/>
      <c r="I61" s="2"/>
      <c r="J61" s="2"/>
      <c r="K61" s="27"/>
    </row>
    <row r="62" spans="1:11" x14ac:dyDescent="0.25">
      <c r="F62" s="2"/>
      <c r="G62" s="2"/>
      <c r="H62" s="2"/>
      <c r="I62" s="2"/>
      <c r="J62" s="2"/>
      <c r="K62" s="27"/>
    </row>
    <row r="63" spans="1:11" x14ac:dyDescent="0.25">
      <c r="F63" s="2"/>
      <c r="G63" s="2"/>
      <c r="H63" s="2"/>
      <c r="I63" s="2"/>
      <c r="J63" s="2"/>
      <c r="K63" s="27"/>
    </row>
    <row r="64" spans="1:11" x14ac:dyDescent="0.25">
      <c r="F64" s="2"/>
      <c r="G64" s="2"/>
      <c r="H64" s="2"/>
      <c r="I64" s="2"/>
      <c r="J64" s="2"/>
      <c r="K64" s="27"/>
    </row>
    <row r="65" spans="6:11" x14ac:dyDescent="0.25">
      <c r="F65" s="2"/>
      <c r="G65" s="2"/>
      <c r="H65" s="2"/>
      <c r="I65" s="2"/>
      <c r="J65" s="2"/>
      <c r="K65" s="27"/>
    </row>
    <row r="66" spans="6:11" x14ac:dyDescent="0.25">
      <c r="F66" s="2"/>
      <c r="G66" s="2"/>
      <c r="H66" s="2"/>
      <c r="I66" s="2"/>
      <c r="J66" s="2"/>
      <c r="K66" s="27"/>
    </row>
    <row r="67" spans="6:11" x14ac:dyDescent="0.25">
      <c r="F67" s="2"/>
      <c r="G67" s="2"/>
      <c r="H67" s="2"/>
      <c r="I67" s="2"/>
      <c r="J67" s="2"/>
      <c r="K67" s="23"/>
    </row>
    <row r="68" spans="6:11" x14ac:dyDescent="0.25">
      <c r="F68" s="2"/>
      <c r="G68" s="2"/>
      <c r="H68" s="2"/>
      <c r="I68" s="2"/>
      <c r="J68" s="2"/>
      <c r="K68" s="23"/>
    </row>
    <row r="69" spans="6:11" x14ac:dyDescent="0.25">
      <c r="F69" s="2"/>
      <c r="G69" s="2"/>
      <c r="H69" s="2"/>
      <c r="I69" s="2"/>
      <c r="J69" s="2"/>
    </row>
    <row r="70" spans="6:11" x14ac:dyDescent="0.25">
      <c r="F70" s="2"/>
      <c r="G70" s="2"/>
      <c r="H70" s="2"/>
      <c r="I70" s="2"/>
      <c r="J70" s="2"/>
    </row>
    <row r="71" spans="6:11" x14ac:dyDescent="0.25">
      <c r="F71" s="2"/>
      <c r="G71" s="2"/>
      <c r="H71" s="2"/>
      <c r="I71" s="2"/>
      <c r="J71" s="2"/>
    </row>
    <row r="72" spans="6:11" x14ac:dyDescent="0.25">
      <c r="F72" s="2"/>
      <c r="G72" s="2"/>
      <c r="H72" s="2"/>
      <c r="I72" s="2"/>
      <c r="J72" s="2"/>
    </row>
  </sheetData>
  <mergeCells count="8">
    <mergeCell ref="A60:G60"/>
    <mergeCell ref="A61:G61"/>
    <mergeCell ref="A54:G54"/>
    <mergeCell ref="A55:G55"/>
    <mergeCell ref="A56:G56"/>
    <mergeCell ref="A57:G57"/>
    <mergeCell ref="A58:G58"/>
    <mergeCell ref="A59:G59"/>
  </mergeCells>
  <pageMargins left="0.70866141732283472" right="0.70866141732283472" top="0.74803149606299213" bottom="0.74803149606299213" header="0.31496062992125984" footer="0.31496062992125984"/>
  <pageSetup paperSize="9" scale="69" orientation="portrait" verticalDpi="0" r:id="rId1"/>
  <rowBreaks count="1" manualBreakCount="1">
    <brk id="5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5 year 12 berth</vt:lpstr>
      <vt:lpstr>Summary</vt:lpstr>
      <vt:lpstr>Summary 12 berth</vt:lpstr>
      <vt:lpstr>Summary 6 berth</vt:lpstr>
      <vt:lpstr>Summary 26 berth</vt:lpstr>
      <vt:lpstr>'Summary 12 berth'!Print_Area</vt:lpstr>
      <vt:lpstr>'Summary 6 berth'!Print_Area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Faye</dc:creator>
  <cp:lastModifiedBy>Elizabeth Macleod</cp:lastModifiedBy>
  <cp:lastPrinted>2020-10-24T12:46:39Z</cp:lastPrinted>
  <dcterms:created xsi:type="dcterms:W3CDTF">2018-02-07T12:43:24Z</dcterms:created>
  <dcterms:modified xsi:type="dcterms:W3CDTF">2021-01-27T10:31:19Z</dcterms:modified>
</cp:coreProperties>
</file>